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9240" windowHeight="9765" activeTab="0"/>
  </bookViews>
  <sheets>
    <sheet name="Orçamento" sheetId="1" r:id="rId1"/>
    <sheet name="Relaxamento dos Padrões de Créd" sheetId="2" r:id="rId2"/>
    <sheet name="Desconto por Pgto Rápid" sheetId="3" r:id="rId3"/>
    <sheet name="Aproveitamento de Desconto" sheetId="4" r:id="rId4"/>
    <sheet name="Orçamento (2) com Investimento" sheetId="5" r:id="rId5"/>
    <sheet name="Orçamento de Investimento" sheetId="6" r:id="rId6"/>
  </sheets>
  <definedNames/>
  <calcPr fullCalcOnLoad="1"/>
</workbook>
</file>

<file path=xl/sharedStrings.xml><?xml version="1.0" encoding="utf-8"?>
<sst xmlns="http://schemas.openxmlformats.org/spreadsheetml/2006/main" count="489" uniqueCount="254">
  <si>
    <t>Orcamento de Vendas</t>
  </si>
  <si>
    <t>Vendas a Vista</t>
  </si>
  <si>
    <t>Vendas Totais</t>
  </si>
  <si>
    <t>Inflacao</t>
  </si>
  <si>
    <t>Preco de Venda Unitario (R$)</t>
  </si>
  <si>
    <t>A Vista</t>
  </si>
  <si>
    <t>A Prazo</t>
  </si>
  <si>
    <t>Orcamento de Contas a Receber</t>
  </si>
  <si>
    <t>(-) Contas a Receber Recebidas no Periodo</t>
  </si>
  <si>
    <t>(=) Saldo Final de Contas a receber</t>
  </si>
  <si>
    <t>Condicoes de Compra</t>
  </si>
  <si>
    <t>Orcamento de Compras</t>
  </si>
  <si>
    <t>(+) Estoque Final</t>
  </si>
  <si>
    <t>(-) Estoque Inicial</t>
  </si>
  <si>
    <t>(=) Compras (Unidades)</t>
  </si>
  <si>
    <t>Preco de Compra</t>
  </si>
  <si>
    <t>Preco de Compra Unitario</t>
  </si>
  <si>
    <t>Compras Totais</t>
  </si>
  <si>
    <t>Orcamento do CMV</t>
  </si>
  <si>
    <t>Valor Estoque Inicial</t>
  </si>
  <si>
    <t>Total</t>
  </si>
  <si>
    <t>Custo Unitario Medio</t>
  </si>
  <si>
    <t>Quantidade Vendida</t>
  </si>
  <si>
    <t>CMV</t>
  </si>
  <si>
    <t>Orcamento de Contas a Pagar</t>
  </si>
  <si>
    <t>Saldo Inicial de Contas a Pagar</t>
  </si>
  <si>
    <t>(+) Compras a Prazo no Periodo</t>
  </si>
  <si>
    <t>(-) Contas a Pagar Pagas no Periodo</t>
  </si>
  <si>
    <t>Orcamento de Despesas</t>
  </si>
  <si>
    <t>Despesas Gerais (R$)</t>
  </si>
  <si>
    <t>Orcamento de Fornecedores a Pagar</t>
  </si>
  <si>
    <t>Saldo Inicial de Fornecedores a Pagar</t>
  </si>
  <si>
    <t>(-) Fornecedores a Pagar Pagos no Periodo</t>
  </si>
  <si>
    <t>(=) Saldo Final de Fornecedores a Pagar no Periodo</t>
  </si>
  <si>
    <t>(=) Saldo Final de Contas a Pagar</t>
  </si>
  <si>
    <t>(+) Contas a Pagar do Periodo</t>
  </si>
  <si>
    <t>Orcamento de Caixa</t>
  </si>
  <si>
    <t>Entradas</t>
  </si>
  <si>
    <t>Contas a Receber</t>
  </si>
  <si>
    <t>Saidas</t>
  </si>
  <si>
    <t>Contas a Pagar</t>
  </si>
  <si>
    <t>Fornecedores a Pagar</t>
  </si>
  <si>
    <t>Saldo Inicial de Caixa</t>
  </si>
  <si>
    <t>(+) Saldo de Caixa do Periodo</t>
  </si>
  <si>
    <t>(=) Saldo de Caixa Parcial</t>
  </si>
  <si>
    <t>(+) Captacoes de Recursos</t>
  </si>
  <si>
    <t>(-) Aplicacoes de Recursos</t>
  </si>
  <si>
    <t>(+) Politica de Caixa da Empresa</t>
  </si>
  <si>
    <t>(=) Saldo Final de Caixa</t>
  </si>
  <si>
    <t>Despesas Pagas a Vista</t>
  </si>
  <si>
    <t>Compras a Vista</t>
  </si>
  <si>
    <t>Compras a Prazo</t>
  </si>
  <si>
    <t>Despesas a Vista</t>
  </si>
  <si>
    <t>Despesas a Prazo</t>
  </si>
  <si>
    <t>DRE Projetado</t>
  </si>
  <si>
    <t xml:space="preserve">Vendas </t>
  </si>
  <si>
    <t>(-) CMV</t>
  </si>
  <si>
    <t>Lucro Bruto</t>
  </si>
  <si>
    <t>(-) Despesas</t>
  </si>
  <si>
    <t>Lucro Liquido</t>
  </si>
  <si>
    <t>BP Projetado</t>
  </si>
  <si>
    <t>Ativo</t>
  </si>
  <si>
    <t>Caixa</t>
  </si>
  <si>
    <t>Estoques</t>
  </si>
  <si>
    <t>Passivo</t>
  </si>
  <si>
    <t>Emprestimos a Pagar</t>
  </si>
  <si>
    <t>PL</t>
  </si>
  <si>
    <t>Lucros Acumulados</t>
  </si>
  <si>
    <t>IGP-M Final</t>
  </si>
  <si>
    <t xml:space="preserve">IGP-M Medio </t>
  </si>
  <si>
    <t>IGP-M Final Acumulado</t>
  </si>
  <si>
    <t>IGP-M Medio Acumulado</t>
  </si>
  <si>
    <t>1 Trim</t>
  </si>
  <si>
    <t>2 Trim</t>
  </si>
  <si>
    <t>3 Trim</t>
  </si>
  <si>
    <t>4 Trim</t>
  </si>
  <si>
    <t>Orcamento de Invest</t>
  </si>
  <si>
    <t>Orcam de Invest c/ Corr Monet</t>
  </si>
  <si>
    <t>(+) Aquisicoes do Periodo</t>
  </si>
  <si>
    <t>(=) Saldo Final de Investim</t>
  </si>
  <si>
    <t>Investimento Inicial</t>
  </si>
  <si>
    <t xml:space="preserve">Investimento Inicial Corrigido </t>
  </si>
  <si>
    <t>(+) Aquisicoes do Periodo (IGP-M Medio)</t>
  </si>
  <si>
    <t>(=) Saldo Final de Investim (IGP-M Final)</t>
  </si>
  <si>
    <t>Orcam de Depreciacao</t>
  </si>
  <si>
    <t>Saldo Inicial de Depreciacao Acum</t>
  </si>
  <si>
    <t>(=) Saldo Final de Depreciacao</t>
  </si>
  <si>
    <t>(+) Correcao Monetaria do Investim</t>
  </si>
  <si>
    <t>(+) Correcao Monetaria da Depreciacao</t>
  </si>
  <si>
    <t>Orcamento de Correcao Monetaria</t>
  </si>
  <si>
    <t>Correcao Monetaria dos Investimentos</t>
  </si>
  <si>
    <t xml:space="preserve">(-) Correcao Monetaria da Depreciacao </t>
  </si>
  <si>
    <t>(=) Correcao Monetaria Total</t>
  </si>
  <si>
    <t>ou</t>
  </si>
  <si>
    <t>(+) Depreciacao do Trimestre (IGP-M Medio)</t>
  </si>
  <si>
    <t>Orcam de Depreciacao c/ Corr Monet</t>
  </si>
  <si>
    <t xml:space="preserve">(+) Depreciacao do Trimestre </t>
  </si>
  <si>
    <t>(=) Saldo Final de Depreciacao (IGP-M Final)</t>
  </si>
  <si>
    <t>Depreciacao Anual</t>
  </si>
  <si>
    <t>Se o investimento 'e fixado a unidade de investimento</t>
  </si>
  <si>
    <t>Se o investimento 'e fixado ao R$ disponibilizado</t>
  </si>
  <si>
    <t>ICMS sobre compras ( ICMS a Recuperar)</t>
  </si>
  <si>
    <t>ICMS sobre Vendas (ICMS a Pagar Bruto)</t>
  </si>
  <si>
    <t>Orcamento de Tributos</t>
  </si>
  <si>
    <t>ICMS</t>
  </si>
  <si>
    <t>ICMS a Pagar</t>
  </si>
  <si>
    <t>(-) ICMS a Recuperar</t>
  </si>
  <si>
    <t>(=) ICMS a Pagar Liquido</t>
  </si>
  <si>
    <t>ICMS Recolhido no Periodo</t>
  </si>
  <si>
    <t>ICMS a Recuperar</t>
  </si>
  <si>
    <t>(-) ICMS Bruto</t>
  </si>
  <si>
    <t>(+) Valor das Compras Liquido (Sem ICMS)</t>
  </si>
  <si>
    <t>Valor das Compras Liquido</t>
  </si>
  <si>
    <t>Vendas a Vista Total</t>
  </si>
  <si>
    <t>Vendas a Prazo Total</t>
  </si>
  <si>
    <t>Vendas a Prazo</t>
  </si>
  <si>
    <t>Número de dias do Período</t>
  </si>
  <si>
    <t>Venda a Prazo Diária</t>
  </si>
  <si>
    <t>Saldo Inicial de Contas a Receber</t>
  </si>
  <si>
    <t>Número de dias Recebíveis</t>
  </si>
  <si>
    <t xml:space="preserve">Saldo Final de Contas a Receber </t>
  </si>
  <si>
    <t>Compras a Prazo Diária</t>
  </si>
  <si>
    <t>Número de dias Pagáveis</t>
  </si>
  <si>
    <t xml:space="preserve">Saldo Final de Fornecedores a Pagar </t>
  </si>
  <si>
    <t>Número de dias do período</t>
  </si>
  <si>
    <t>ICMS a Pagar gerado por dia</t>
  </si>
  <si>
    <t>Número de dias de recolhimento do ICMS</t>
  </si>
  <si>
    <t>ICMS a Pagar no Final do Periodo</t>
  </si>
  <si>
    <t>Saldo Inicial de ICMS a Pagar</t>
  </si>
  <si>
    <t>(+) ICMS a Pagar do Período</t>
  </si>
  <si>
    <t>(-) Saldo Final de ICMS a Pagar no Período</t>
  </si>
  <si>
    <t>Vendas Líquidas</t>
  </si>
  <si>
    <t>Quantidade em Estoque final</t>
  </si>
  <si>
    <t>Ei (unidades)</t>
  </si>
  <si>
    <t>(+) Compras</t>
  </si>
  <si>
    <t>Estoque Parcial</t>
  </si>
  <si>
    <t>Estoque Final</t>
  </si>
  <si>
    <t>AP</t>
  </si>
  <si>
    <t>Capital Social</t>
  </si>
  <si>
    <t>Contas a Receber Recebidas</t>
  </si>
  <si>
    <t>Fornecedores a Pagar Pagos</t>
  </si>
  <si>
    <t>Quantidade Projetada de Chocolates (Unidades)</t>
  </si>
  <si>
    <t xml:space="preserve">Preço de Venda </t>
  </si>
  <si>
    <t>Condições</t>
  </si>
  <si>
    <t>Trim 1</t>
  </si>
  <si>
    <t>Trim 2</t>
  </si>
  <si>
    <t>Trim 3</t>
  </si>
  <si>
    <t>Trim 4</t>
  </si>
  <si>
    <t>(+) Contas a Receber do Preriodo (Vendas a Prazo)</t>
  </si>
  <si>
    <t>Vendas (Unidades)</t>
  </si>
  <si>
    <t>Trim 5</t>
  </si>
  <si>
    <t>Aplicações de Recursos</t>
  </si>
  <si>
    <t>Crec</t>
  </si>
  <si>
    <t>Estoque</t>
  </si>
  <si>
    <t>Fornecedores</t>
  </si>
  <si>
    <t>CP</t>
  </si>
  <si>
    <t>Rentabilidade</t>
  </si>
  <si>
    <t>PME</t>
  </si>
  <si>
    <t>PMP</t>
  </si>
  <si>
    <t>PMC</t>
  </si>
  <si>
    <t>CC</t>
  </si>
  <si>
    <t>GC</t>
  </si>
  <si>
    <t>Caixa Operac</t>
  </si>
  <si>
    <t>NIG</t>
  </si>
  <si>
    <t>CCL</t>
  </si>
  <si>
    <t>SD</t>
  </si>
  <si>
    <t>NTFP</t>
  </si>
  <si>
    <t>Custo Oportun</t>
  </si>
  <si>
    <t>Tarifa</t>
  </si>
  <si>
    <t>LEC</t>
  </si>
  <si>
    <t>Contas a Pagar Pagas no Período</t>
  </si>
  <si>
    <t>Período</t>
  </si>
  <si>
    <t>SOBRE VENDAS</t>
  </si>
  <si>
    <t>LCC</t>
  </si>
  <si>
    <t>Custo Mnt Estoq</t>
  </si>
  <si>
    <t>Custo de Pedir</t>
  </si>
  <si>
    <t>Núm Pedidos</t>
  </si>
  <si>
    <t>Núm Convers</t>
  </si>
  <si>
    <t>o</t>
  </si>
  <si>
    <t>Vendas Anteriores</t>
  </si>
  <si>
    <t>Vendas Novas (unidades)</t>
  </si>
  <si>
    <t>Vendas Anteriores (unidades)</t>
  </si>
  <si>
    <t>Variação das Vendas</t>
  </si>
  <si>
    <t>Preço Unitário</t>
  </si>
  <si>
    <t>Custo Unitário</t>
  </si>
  <si>
    <t>MC/unidade</t>
  </si>
  <si>
    <t>Aumento de vendas x margem de contribuição/unidade</t>
  </si>
  <si>
    <t>PMR Anterior</t>
  </si>
  <si>
    <t>PMR Novo</t>
  </si>
  <si>
    <t>Giro de CR</t>
  </si>
  <si>
    <t>Investim médio plano novo</t>
  </si>
  <si>
    <t>Investim médio plano anterior</t>
  </si>
  <si>
    <t>Investimento Marginal em Contas a Receber</t>
  </si>
  <si>
    <t>Custo de Oportunidade</t>
  </si>
  <si>
    <t>Perdas com Incobráveis Anterior</t>
  </si>
  <si>
    <t>Perdas com Incobráveis Novo</t>
  </si>
  <si>
    <t>Custo de Perdas no plano anterior</t>
  </si>
  <si>
    <t>Custo de Perdas no plano proposto</t>
  </si>
  <si>
    <t>Custo de Oportunidade R$</t>
  </si>
  <si>
    <t>Custo de Oportunidade %</t>
  </si>
  <si>
    <t>Custo de Perdas Marginais</t>
  </si>
  <si>
    <t>Desconto concedido</t>
  </si>
  <si>
    <t>Custo do Desconto</t>
  </si>
  <si>
    <t>% de Vendas a Prazo que aproveita o desconto</t>
  </si>
  <si>
    <t>Ganho ou perda com o desconto</t>
  </si>
  <si>
    <t>DESCONTO POR PAGAMENTO RÁPIDO</t>
  </si>
  <si>
    <t>Análise do Relaxamento de Padrões de Crédito</t>
  </si>
  <si>
    <t>Vendas Novas</t>
  </si>
  <si>
    <t>Margem de Contribuição/unidade</t>
  </si>
  <si>
    <t>PMR anterior</t>
  </si>
  <si>
    <t>PMR proposto</t>
  </si>
  <si>
    <t>Giro de Contas a Receber Anterior</t>
  </si>
  <si>
    <t>Giro de Contas a Receber Proposto</t>
  </si>
  <si>
    <t>Nível Anterior de Perdas com cliente</t>
  </si>
  <si>
    <t>Novo nível de perdas com clientes</t>
  </si>
  <si>
    <t>Contribuição de Vendas Adicionais</t>
  </si>
  <si>
    <t>Invetimento médio no plano proposto</t>
  </si>
  <si>
    <t>Investimento médio anterior</t>
  </si>
  <si>
    <t>Investimento marginal em contas a receber</t>
  </si>
  <si>
    <t>Custo do investimento marginal em contas a receber</t>
  </si>
  <si>
    <t>Custo de perdas no plano proposto</t>
  </si>
  <si>
    <t>Custo de perdas no plano atual</t>
  </si>
  <si>
    <t>Custo de perdas marginais</t>
  </si>
  <si>
    <t>Ganho ou perda com a implantação do plano proposto</t>
  </si>
  <si>
    <t>Desconto</t>
  </si>
  <si>
    <t>Tempo de desconto em dias</t>
  </si>
  <si>
    <t>Prazo de pagamento em dias</t>
  </si>
  <si>
    <t>Valor da conta R$</t>
  </si>
  <si>
    <t>Custo Anualizado do Não Aproveitamento em R$</t>
  </si>
  <si>
    <t>Custo Anualizado do Não Aproveitamento em %</t>
  </si>
  <si>
    <t>APROVEITAMENTO DE DESCONTO POR PAGAMENTO</t>
  </si>
  <si>
    <t>Ponto Ret Z</t>
  </si>
  <si>
    <t>Custo Op Diário</t>
  </si>
  <si>
    <t>Média Demand Cx</t>
  </si>
  <si>
    <t>Variância Cx</t>
  </si>
  <si>
    <t>Desvio Padrão Cx</t>
  </si>
  <si>
    <t>Saldo Médio Cx</t>
  </si>
  <si>
    <t>Lim Sup Cx</t>
  </si>
  <si>
    <t>Valor Aplic</t>
  </si>
  <si>
    <t>PE 1</t>
  </si>
  <si>
    <t>PE 2</t>
  </si>
  <si>
    <t>PE 3</t>
  </si>
  <si>
    <t>Pe 4</t>
  </si>
  <si>
    <t>Variáveis</t>
  </si>
  <si>
    <t>Variação Percentual</t>
  </si>
  <si>
    <t>(-) Perdas com incobráveis</t>
  </si>
  <si>
    <t xml:space="preserve">Investimentos </t>
  </si>
  <si>
    <t>Depreciação Acumulada</t>
  </si>
  <si>
    <t>(-) Depreciação</t>
  </si>
  <si>
    <t>(+/-) Correção Monetária</t>
  </si>
  <si>
    <t>VALORES MÉDIOS</t>
  </si>
  <si>
    <t>SOBRE VENDAS - VALORES MÉDIOS</t>
  </si>
  <si>
    <t>SOBRE VENDAS - VALORES FINAIS</t>
  </si>
  <si>
    <t>VALORES FINAIS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</si>
</sst>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_);[Red]\(0.00\)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_);[Red]\(0.0\)"/>
    <numFmt numFmtId="176" formatCode="0_);[Red]\(0\)"/>
    <numFmt numFmtId="177" formatCode="[$-416]dddd\,\ d&quot; de &quot;mmmm&quot; de &quot;yyyy"/>
  </numFmts>
  <fonts count="10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169" fontId="1" fillId="0" borderId="1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168" fontId="0" fillId="0" borderId="8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3" fillId="0" borderId="15" xfId="0" applyNumberFormat="1" applyFont="1" applyBorder="1" applyAlignment="1">
      <alignment/>
    </xf>
    <xf numFmtId="168" fontId="0" fillId="0" borderId="13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0" fontId="3" fillId="2" borderId="14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5" xfId="0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2" fontId="1" fillId="3" borderId="8" xfId="0" applyNumberFormat="1" applyFont="1" applyFill="1" applyBorder="1" applyAlignment="1">
      <alignment/>
    </xf>
    <xf numFmtId="168" fontId="1" fillId="4" borderId="1" xfId="0" applyNumberFormat="1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7" xfId="0" applyFill="1" applyBorder="1" applyAlignment="1">
      <alignment/>
    </xf>
    <xf numFmtId="1" fontId="0" fillId="2" borderId="1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68" fontId="3" fillId="2" borderId="3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8" fillId="2" borderId="1" xfId="0" applyFont="1" applyFill="1" applyBorder="1" applyAlignment="1">
      <alignment/>
    </xf>
    <xf numFmtId="2" fontId="7" fillId="3" borderId="1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0" fillId="2" borderId="9" xfId="0" applyFill="1" applyBorder="1" applyAlignment="1">
      <alignment/>
    </xf>
    <xf numFmtId="0" fontId="3" fillId="2" borderId="7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2" fontId="1" fillId="3" borderId="18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0" fontId="1" fillId="3" borderId="3" xfId="0" applyNumberFormat="1" applyFont="1" applyFill="1" applyBorder="1" applyAlignment="1">
      <alignment/>
    </xf>
    <xf numFmtId="10" fontId="1" fillId="3" borderId="3" xfId="0" applyNumberFormat="1" applyFont="1" applyFill="1" applyBorder="1" applyAlignment="1">
      <alignment/>
    </xf>
    <xf numFmtId="10" fontId="1" fillId="3" borderId="4" xfId="0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2" fontId="3" fillId="2" borderId="22" xfId="0" applyNumberFormat="1" applyFont="1" applyFill="1" applyBorder="1" applyAlignment="1">
      <alignment/>
    </xf>
    <xf numFmtId="2" fontId="3" fillId="2" borderId="11" xfId="0" applyNumberFormat="1" applyFon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2" fontId="0" fillId="2" borderId="8" xfId="0" applyNumberFormat="1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3" fillId="2" borderId="21" xfId="0" applyNumberFormat="1" applyFont="1" applyFill="1" applyBorder="1" applyAlignment="1">
      <alignment/>
    </xf>
    <xf numFmtId="0" fontId="7" fillId="3" borderId="2" xfId="0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3" fillId="2" borderId="4" xfId="0" applyNumberFormat="1" applyFont="1" applyFill="1" applyBorder="1" applyAlignment="1">
      <alignment/>
    </xf>
    <xf numFmtId="2" fontId="0" fillId="2" borderId="9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2" fontId="3" fillId="2" borderId="23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0" fillId="2" borderId="7" xfId="0" applyNumberFormat="1" applyFont="1" applyFill="1" applyBorder="1" applyAlignment="1">
      <alignment/>
    </xf>
    <xf numFmtId="10" fontId="1" fillId="3" borderId="24" xfId="0" applyNumberFormat="1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2" fontId="0" fillId="2" borderId="11" xfId="0" applyNumberFormat="1" applyFont="1" applyFill="1" applyBorder="1" applyAlignment="1">
      <alignment/>
    </xf>
    <xf numFmtId="2" fontId="0" fillId="2" borderId="12" xfId="0" applyNumberFormat="1" applyFont="1" applyFill="1" applyBorder="1" applyAlignment="1">
      <alignment/>
    </xf>
    <xf numFmtId="2" fontId="0" fillId="4" borderId="1" xfId="0" applyNumberFormat="1" applyFont="1" applyFill="1" applyBorder="1" applyAlignment="1">
      <alignment/>
    </xf>
    <xf numFmtId="2" fontId="0" fillId="4" borderId="2" xfId="0" applyNumberFormat="1" applyFont="1" applyFill="1" applyBorder="1" applyAlignment="1">
      <alignment/>
    </xf>
    <xf numFmtId="168" fontId="0" fillId="4" borderId="1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168" fontId="0" fillId="4" borderId="2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0" fontId="1" fillId="0" borderId="25" xfId="0" applyNumberFormat="1" applyFont="1" applyFill="1" applyBorder="1" applyAlignment="1">
      <alignment/>
    </xf>
    <xf numFmtId="10" fontId="1" fillId="0" borderId="24" xfId="0" applyNumberFormat="1" applyFont="1" applyFill="1" applyBorder="1" applyAlignment="1">
      <alignment/>
    </xf>
    <xf numFmtId="2" fontId="2" fillId="3" borderId="3" xfId="0" applyNumberFormat="1" applyFont="1" applyFill="1" applyBorder="1" applyAlignment="1">
      <alignment/>
    </xf>
    <xf numFmtId="2" fontId="2" fillId="3" borderId="4" xfId="0" applyNumberFormat="1" applyFont="1" applyFill="1" applyBorder="1" applyAlignment="1">
      <alignment/>
    </xf>
    <xf numFmtId="2" fontId="0" fillId="2" borderId="18" xfId="0" applyNumberFormat="1" applyFont="1" applyFill="1" applyBorder="1" applyAlignment="1">
      <alignment/>
    </xf>
    <xf numFmtId="2" fontId="0" fillId="2" borderId="3" xfId="0" applyNumberFormat="1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2" fontId="0" fillId="2" borderId="22" xfId="0" applyNumberFormat="1" applyFont="1" applyFill="1" applyBorder="1" applyAlignment="1">
      <alignment/>
    </xf>
    <xf numFmtId="2" fontId="1" fillId="3" borderId="18" xfId="0" applyNumberFormat="1" applyFont="1" applyFill="1" applyBorder="1" applyAlignment="1">
      <alignment/>
    </xf>
    <xf numFmtId="168" fontId="0" fillId="2" borderId="3" xfId="0" applyNumberFormat="1" applyFont="1" applyFill="1" applyBorder="1" applyAlignment="1">
      <alignment/>
    </xf>
    <xf numFmtId="2" fontId="0" fillId="2" borderId="21" xfId="0" applyNumberFormat="1" applyFont="1" applyFill="1" applyBorder="1" applyAlignment="1">
      <alignment/>
    </xf>
    <xf numFmtId="168" fontId="0" fillId="2" borderId="4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/>
    </xf>
    <xf numFmtId="2" fontId="0" fillId="2" borderId="23" xfId="0" applyNumberFormat="1" applyFont="1" applyFill="1" applyBorder="1" applyAlignment="1">
      <alignment/>
    </xf>
    <xf numFmtId="2" fontId="0" fillId="4" borderId="8" xfId="0" applyNumberFormat="1" applyFont="1" applyFill="1" applyBorder="1" applyAlignment="1">
      <alignment/>
    </xf>
    <xf numFmtId="2" fontId="0" fillId="4" borderId="18" xfId="0" applyNumberFormat="1" applyFont="1" applyFill="1" applyBorder="1" applyAlignment="1">
      <alignment/>
    </xf>
    <xf numFmtId="2" fontId="0" fillId="4" borderId="27" xfId="0" applyNumberFormat="1" applyFont="1" applyFill="1" applyBorder="1" applyAlignment="1">
      <alignment/>
    </xf>
    <xf numFmtId="2" fontId="0" fillId="4" borderId="28" xfId="0" applyNumberFormat="1" applyFont="1" applyFill="1" applyBorder="1" applyAlignment="1">
      <alignment/>
    </xf>
    <xf numFmtId="2" fontId="0" fillId="2" borderId="2" xfId="0" applyNumberFormat="1" applyFill="1" applyBorder="1" applyAlignment="1">
      <alignment/>
    </xf>
    <xf numFmtId="168" fontId="3" fillId="2" borderId="2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168" fontId="0" fillId="2" borderId="8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168" fontId="1" fillId="3" borderId="1" xfId="0" applyNumberFormat="1" applyFon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168" fontId="0" fillId="4" borderId="1" xfId="0" applyNumberFormat="1" applyFill="1" applyBorder="1" applyAlignment="1">
      <alignment/>
    </xf>
    <xf numFmtId="168" fontId="0" fillId="4" borderId="2" xfId="0" applyNumberFormat="1" applyFill="1" applyBorder="1" applyAlignment="1">
      <alignment/>
    </xf>
    <xf numFmtId="10" fontId="0" fillId="5" borderId="4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2" fontId="0" fillId="5" borderId="2" xfId="0" applyNumberFormat="1" applyFill="1" applyBorder="1" applyAlignment="1">
      <alignment/>
    </xf>
    <xf numFmtId="2" fontId="0" fillId="5" borderId="14" xfId="0" applyNumberForma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3" xfId="0" applyFill="1" applyBorder="1" applyAlignment="1">
      <alignment/>
    </xf>
    <xf numFmtId="2" fontId="0" fillId="5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10" fontId="0" fillId="5" borderId="29" xfId="0" applyNumberFormat="1" applyFill="1" applyBorder="1" applyAlignment="1">
      <alignment/>
    </xf>
    <xf numFmtId="0" fontId="3" fillId="5" borderId="30" xfId="0" applyFont="1" applyFill="1" applyBorder="1" applyAlignment="1">
      <alignment/>
    </xf>
    <xf numFmtId="0" fontId="0" fillId="4" borderId="1" xfId="0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18" xfId="0" applyNumberFormat="1" applyFill="1" applyBorder="1" applyAlignment="1">
      <alignment/>
    </xf>
    <xf numFmtId="2" fontId="0" fillId="2" borderId="21" xfId="0" applyNumberFormat="1" applyFill="1" applyBorder="1" applyAlignment="1">
      <alignment/>
    </xf>
    <xf numFmtId="1" fontId="0" fillId="2" borderId="18" xfId="0" applyNumberFormat="1" applyFill="1" applyBorder="1" applyAlignment="1">
      <alignment/>
    </xf>
    <xf numFmtId="1" fontId="0" fillId="2" borderId="2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168" fontId="0" fillId="2" borderId="1" xfId="0" applyNumberFormat="1" applyFill="1" applyBorder="1" applyAlignment="1">
      <alignment/>
    </xf>
    <xf numFmtId="10" fontId="0" fillId="3" borderId="1" xfId="0" applyNumberFormat="1" applyFill="1" applyBorder="1" applyAlignment="1">
      <alignment/>
    </xf>
    <xf numFmtId="10" fontId="0" fillId="4" borderId="1" xfId="0" applyNumberFormat="1" applyFill="1" applyBorder="1" applyAlignment="1">
      <alignment/>
    </xf>
    <xf numFmtId="10" fontId="0" fillId="0" borderId="1" xfId="0" applyNumberFormat="1" applyBorder="1" applyAlignment="1">
      <alignment/>
    </xf>
    <xf numFmtId="2" fontId="0" fillId="3" borderId="2" xfId="0" applyNumberFormat="1" applyFill="1" applyBorder="1" applyAlignment="1">
      <alignment/>
    </xf>
    <xf numFmtId="0" fontId="0" fillId="4" borderId="33" xfId="0" applyFill="1" applyBorder="1" applyAlignment="1">
      <alignment/>
    </xf>
    <xf numFmtId="168" fontId="0" fillId="2" borderId="2" xfId="0" applyNumberForma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2" xfId="0" applyFill="1" applyBorder="1" applyAlignment="1">
      <alignment/>
    </xf>
    <xf numFmtId="0" fontId="0" fillId="3" borderId="2" xfId="0" applyFill="1" applyBorder="1" applyAlignment="1">
      <alignment/>
    </xf>
    <xf numFmtId="9" fontId="0" fillId="3" borderId="2" xfId="0" applyNumberFormat="1" applyFill="1" applyBorder="1" applyAlignment="1">
      <alignment/>
    </xf>
    <xf numFmtId="10" fontId="0" fillId="3" borderId="21" xfId="0" applyNumberFormat="1" applyFill="1" applyBorder="1" applyAlignment="1">
      <alignment/>
    </xf>
    <xf numFmtId="0" fontId="3" fillId="5" borderId="18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3" fillId="5" borderId="14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2" fontId="0" fillId="4" borderId="16" xfId="0" applyNumberFormat="1" applyFill="1" applyBorder="1" applyAlignment="1">
      <alignment/>
    </xf>
    <xf numFmtId="2" fontId="0" fillId="4" borderId="22" xfId="0" applyNumberFormat="1" applyFill="1" applyBorder="1" applyAlignment="1">
      <alignment/>
    </xf>
    <xf numFmtId="2" fontId="0" fillId="4" borderId="23" xfId="0" applyNumberFormat="1" applyFill="1" applyBorder="1" applyAlignment="1">
      <alignment/>
    </xf>
    <xf numFmtId="2" fontId="0" fillId="4" borderId="18" xfId="0" applyNumberFormat="1" applyFill="1" applyBorder="1" applyAlignment="1">
      <alignment/>
    </xf>
    <xf numFmtId="0" fontId="0" fillId="4" borderId="21" xfId="0" applyFill="1" applyBorder="1" applyAlignment="1">
      <alignment/>
    </xf>
    <xf numFmtId="1" fontId="0" fillId="2" borderId="22" xfId="0" applyNumberFormat="1" applyFill="1" applyBorder="1" applyAlignment="1">
      <alignment/>
    </xf>
    <xf numFmtId="1" fontId="0" fillId="2" borderId="23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7" xfId="0" applyFill="1" applyBorder="1" applyAlignment="1">
      <alignment/>
    </xf>
    <xf numFmtId="0" fontId="3" fillId="2" borderId="35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6" xfId="0" applyFill="1" applyBorder="1" applyAlignment="1">
      <alignment/>
    </xf>
    <xf numFmtId="0" fontId="3" fillId="2" borderId="36" xfId="0" applyFont="1" applyFill="1" applyBorder="1" applyAlignment="1">
      <alignment/>
    </xf>
    <xf numFmtId="0" fontId="3" fillId="2" borderId="37" xfId="0" applyFont="1" applyFill="1" applyBorder="1" applyAlignment="1">
      <alignment/>
    </xf>
    <xf numFmtId="0" fontId="3" fillId="2" borderId="38" xfId="0" applyFont="1" applyFill="1" applyBorder="1" applyAlignment="1">
      <alignment/>
    </xf>
    <xf numFmtId="168" fontId="0" fillId="2" borderId="9" xfId="0" applyNumberFormat="1" applyFont="1" applyFill="1" applyBorder="1" applyAlignment="1">
      <alignment/>
    </xf>
    <xf numFmtId="0" fontId="3" fillId="2" borderId="39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2" fontId="1" fillId="3" borderId="2" xfId="0" applyNumberFormat="1" applyFont="1" applyFill="1" applyBorder="1" applyAlignment="1">
      <alignment/>
    </xf>
    <xf numFmtId="0" fontId="8" fillId="2" borderId="2" xfId="0" applyFont="1" applyFill="1" applyBorder="1" applyAlignment="1">
      <alignment/>
    </xf>
    <xf numFmtId="10" fontId="0" fillId="2" borderId="1" xfId="0" applyNumberFormat="1" applyFill="1" applyBorder="1" applyAlignment="1">
      <alignment/>
    </xf>
    <xf numFmtId="10" fontId="0" fillId="3" borderId="36" xfId="0" applyNumberFormat="1" applyFill="1" applyBorder="1" applyAlignment="1">
      <alignment/>
    </xf>
    <xf numFmtId="2" fontId="0" fillId="0" borderId="36" xfId="0" applyNumberFormat="1" applyBorder="1" applyAlignment="1">
      <alignment/>
    </xf>
    <xf numFmtId="2" fontId="3" fillId="2" borderId="36" xfId="0" applyNumberFormat="1" applyFont="1" applyFill="1" applyBorder="1" applyAlignment="1">
      <alignment/>
    </xf>
    <xf numFmtId="1" fontId="0" fillId="3" borderId="36" xfId="0" applyNumberFormat="1" applyFill="1" applyBorder="1" applyAlignment="1">
      <alignment/>
    </xf>
    <xf numFmtId="2" fontId="0" fillId="3" borderId="36" xfId="0" applyNumberFormat="1" applyFill="1" applyBorder="1" applyAlignment="1">
      <alignment/>
    </xf>
    <xf numFmtId="2" fontId="0" fillId="3" borderId="40" xfId="0" applyNumberFormat="1" applyFill="1" applyBorder="1" applyAlignment="1">
      <alignment/>
    </xf>
    <xf numFmtId="2" fontId="0" fillId="2" borderId="40" xfId="0" applyNumberFormat="1" applyFill="1" applyBorder="1" applyAlignment="1">
      <alignment/>
    </xf>
    <xf numFmtId="1" fontId="0" fillId="2" borderId="36" xfId="0" applyNumberFormat="1" applyFill="1" applyBorder="1" applyAlignment="1">
      <alignment/>
    </xf>
    <xf numFmtId="168" fontId="0" fillId="2" borderId="37" xfId="0" applyNumberFormat="1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2" borderId="42" xfId="0" applyFill="1" applyBorder="1" applyAlignment="1">
      <alignment/>
    </xf>
    <xf numFmtId="0" fontId="3" fillId="5" borderId="21" xfId="0" applyFont="1" applyFill="1" applyBorder="1" applyAlignment="1">
      <alignment/>
    </xf>
    <xf numFmtId="168" fontId="0" fillId="5" borderId="15" xfId="0" applyNumberFormat="1" applyFill="1" applyBorder="1" applyAlignment="1">
      <alignment/>
    </xf>
    <xf numFmtId="168" fontId="0" fillId="5" borderId="3" xfId="0" applyNumberFormat="1" applyFill="1" applyBorder="1" applyAlignment="1">
      <alignment/>
    </xf>
    <xf numFmtId="168" fontId="0" fillId="5" borderId="4" xfId="0" applyNumberFormat="1" applyFill="1" applyBorder="1" applyAlignment="1">
      <alignment/>
    </xf>
    <xf numFmtId="0" fontId="3" fillId="5" borderId="35" xfId="0" applyFont="1" applyFill="1" applyBorder="1" applyAlignment="1">
      <alignment/>
    </xf>
    <xf numFmtId="10" fontId="3" fillId="5" borderId="36" xfId="0" applyNumberFormat="1" applyFont="1" applyFill="1" applyBorder="1" applyAlignment="1">
      <alignment/>
    </xf>
    <xf numFmtId="10" fontId="0" fillId="2" borderId="13" xfId="0" applyNumberFormat="1" applyFill="1" applyBorder="1" applyAlignment="1">
      <alignment/>
    </xf>
    <xf numFmtId="10" fontId="0" fillId="2" borderId="8" xfId="0" applyNumberFormat="1" applyFill="1" applyBorder="1" applyAlignment="1">
      <alignment/>
    </xf>
    <xf numFmtId="10" fontId="0" fillId="2" borderId="9" xfId="0" applyNumberFormat="1" applyFill="1" applyBorder="1" applyAlignment="1">
      <alignment/>
    </xf>
    <xf numFmtId="10" fontId="0" fillId="2" borderId="14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10" fontId="0" fillId="2" borderId="2" xfId="0" applyNumberFormat="1" applyFont="1" applyFill="1" applyBorder="1" applyAlignment="1">
      <alignment/>
    </xf>
    <xf numFmtId="10" fontId="0" fillId="2" borderId="15" xfId="0" applyNumberFormat="1" applyFont="1" applyFill="1" applyBorder="1" applyAlignment="1">
      <alignment/>
    </xf>
    <xf numFmtId="10" fontId="0" fillId="2" borderId="3" xfId="0" applyNumberFormat="1" applyFont="1" applyFill="1" applyBorder="1" applyAlignment="1">
      <alignment/>
    </xf>
    <xf numFmtId="10" fontId="0" fillId="2" borderId="4" xfId="0" applyNumberFormat="1" applyFont="1" applyFill="1" applyBorder="1" applyAlignment="1">
      <alignment/>
    </xf>
    <xf numFmtId="10" fontId="0" fillId="2" borderId="5" xfId="0" applyNumberFormat="1" applyFont="1" applyFill="1" applyBorder="1" applyAlignment="1">
      <alignment/>
    </xf>
    <xf numFmtId="10" fontId="0" fillId="2" borderId="6" xfId="0" applyNumberFormat="1" applyFont="1" applyFill="1" applyBorder="1" applyAlignment="1">
      <alignment/>
    </xf>
    <xf numFmtId="10" fontId="0" fillId="2" borderId="7" xfId="0" applyNumberFormat="1" applyFont="1" applyFill="1" applyBorder="1" applyAlignment="1">
      <alignment/>
    </xf>
    <xf numFmtId="10" fontId="0" fillId="2" borderId="14" xfId="0" applyNumberFormat="1" applyFill="1" applyBorder="1" applyAlignment="1">
      <alignment/>
    </xf>
    <xf numFmtId="10" fontId="0" fillId="2" borderId="2" xfId="0" applyNumberFormat="1" applyFill="1" applyBorder="1" applyAlignment="1">
      <alignment/>
    </xf>
    <xf numFmtId="10" fontId="0" fillId="2" borderId="15" xfId="0" applyNumberFormat="1" applyFill="1" applyBorder="1" applyAlignment="1">
      <alignment/>
    </xf>
    <xf numFmtId="10" fontId="0" fillId="2" borderId="3" xfId="0" applyNumberFormat="1" applyFill="1" applyBorder="1" applyAlignment="1">
      <alignment/>
    </xf>
    <xf numFmtId="10" fontId="0" fillId="2" borderId="4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18" xfId="0" applyFill="1" applyBorder="1" applyAlignment="1">
      <alignment/>
    </xf>
    <xf numFmtId="10" fontId="0" fillId="6" borderId="1" xfId="0" applyNumberFormat="1" applyFill="1" applyBorder="1" applyAlignment="1">
      <alignment/>
    </xf>
    <xf numFmtId="0" fontId="0" fillId="6" borderId="21" xfId="0" applyFill="1" applyBorder="1" applyAlignment="1">
      <alignment/>
    </xf>
    <xf numFmtId="2" fontId="0" fillId="6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168" fontId="0" fillId="2" borderId="22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10" fontId="1" fillId="3" borderId="4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69" fontId="1" fillId="0" borderId="8" xfId="0" applyNumberFormat="1" applyFont="1" applyBorder="1" applyAlignment="1">
      <alignment/>
    </xf>
    <xf numFmtId="169" fontId="1" fillId="0" borderId="9" xfId="0" applyNumberFormat="1" applyFont="1" applyBorder="1" applyAlignment="1">
      <alignment/>
    </xf>
    <xf numFmtId="0" fontId="0" fillId="2" borderId="14" xfId="0" applyFont="1" applyFill="1" applyBorder="1" applyAlignment="1">
      <alignment/>
    </xf>
    <xf numFmtId="169" fontId="0" fillId="2" borderId="1" xfId="0" applyNumberFormat="1" applyFont="1" applyFill="1" applyBorder="1" applyAlignment="1">
      <alignment/>
    </xf>
    <xf numFmtId="169" fontId="0" fillId="2" borderId="2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169" fontId="0" fillId="2" borderId="3" xfId="0" applyNumberFormat="1" applyFont="1" applyFill="1" applyBorder="1" applyAlignment="1">
      <alignment/>
    </xf>
    <xf numFmtId="169" fontId="0" fillId="2" borderId="4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168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4" borderId="43" xfId="0" applyNumberFormat="1" applyFill="1" applyBorder="1" applyAlignment="1">
      <alignment/>
    </xf>
    <xf numFmtId="10" fontId="1" fillId="3" borderId="36" xfId="0" applyNumberFormat="1" applyFont="1" applyFill="1" applyBorder="1" applyAlignment="1">
      <alignment/>
    </xf>
    <xf numFmtId="2" fontId="1" fillId="0" borderId="36" xfId="0" applyNumberFormat="1" applyFont="1" applyBorder="1" applyAlignment="1">
      <alignment/>
    </xf>
    <xf numFmtId="1" fontId="1" fillId="3" borderId="36" xfId="0" applyNumberFormat="1" applyFont="1" applyFill="1" applyBorder="1" applyAlignment="1">
      <alignment/>
    </xf>
    <xf numFmtId="2" fontId="1" fillId="3" borderId="36" xfId="0" applyNumberFormat="1" applyFont="1" applyFill="1" applyBorder="1" applyAlignment="1">
      <alignment/>
    </xf>
    <xf numFmtId="2" fontId="1" fillId="3" borderId="40" xfId="0" applyNumberFormat="1" applyFont="1" applyFill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2" fontId="0" fillId="2" borderId="43" xfId="0" applyNumberFormat="1" applyFill="1" applyBorder="1" applyAlignment="1">
      <alignment/>
    </xf>
    <xf numFmtId="2" fontId="0" fillId="2" borderId="46" xfId="0" applyNumberFormat="1" applyFill="1" applyBorder="1" applyAlignment="1">
      <alignment/>
    </xf>
    <xf numFmtId="2" fontId="0" fillId="2" borderId="47" xfId="0" applyNumberFormat="1" applyFill="1" applyBorder="1" applyAlignment="1">
      <alignment/>
    </xf>
    <xf numFmtId="2" fontId="0" fillId="5" borderId="47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4" borderId="4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38" xfId="0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0" fillId="4" borderId="48" xfId="0" applyNumberFormat="1" applyFill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2"/>
  <sheetViews>
    <sheetView tabSelected="1" zoomScale="75" zoomScaleNormal="75" workbookViewId="0" topLeftCell="L1">
      <selection activeCell="T10" sqref="T10"/>
    </sheetView>
  </sheetViews>
  <sheetFormatPr defaultColWidth="9.140625" defaultRowHeight="12.75"/>
  <cols>
    <col min="1" max="1" width="31.57421875" style="0" customWidth="1"/>
    <col min="2" max="2" width="13.00390625" style="0" bestFit="1" customWidth="1"/>
    <col min="3" max="3" width="11.00390625" style="0" customWidth="1"/>
    <col min="4" max="4" width="10.421875" style="0" customWidth="1"/>
    <col min="5" max="5" width="10.140625" style="0" customWidth="1"/>
    <col min="6" max="6" width="12.421875" style="105" customWidth="1"/>
    <col min="7" max="7" width="1.7109375" style="0" customWidth="1"/>
    <col min="8" max="8" width="5.421875" style="0" customWidth="1"/>
    <col min="9" max="9" width="29.8515625" style="0" customWidth="1"/>
    <col min="10" max="10" width="12.7109375" style="0" customWidth="1"/>
    <col min="11" max="11" width="13.00390625" style="0" customWidth="1"/>
    <col min="12" max="12" width="13.421875" style="0" customWidth="1"/>
    <col min="13" max="13" width="14.28125" style="0" customWidth="1"/>
    <col min="15" max="15" width="15.8515625" style="0" customWidth="1"/>
    <col min="16" max="16" width="13.8515625" style="0" customWidth="1"/>
    <col min="17" max="17" width="10.140625" style="0" customWidth="1"/>
    <col min="18" max="18" width="10.8515625" style="0" customWidth="1"/>
    <col min="19" max="19" width="10.421875" style="0" customWidth="1"/>
    <col min="21" max="22" width="9.28125" style="0" customWidth="1"/>
    <col min="25" max="25" width="15.8515625" style="0" customWidth="1"/>
  </cols>
  <sheetData>
    <row r="1" spans="1:32" ht="13.5" thickBot="1">
      <c r="A1" s="61" t="s">
        <v>142</v>
      </c>
      <c r="B1" s="88">
        <v>10</v>
      </c>
      <c r="C1" s="75"/>
      <c r="D1" s="75" t="s">
        <v>143</v>
      </c>
      <c r="E1" s="76"/>
      <c r="F1" s="101"/>
      <c r="H1" s="227" t="s">
        <v>36</v>
      </c>
      <c r="I1" s="61"/>
      <c r="J1" s="81" t="str">
        <f>$B$6</f>
        <v>Trim 1</v>
      </c>
      <c r="K1" s="81" t="str">
        <f>$C$6</f>
        <v>Trim 2</v>
      </c>
      <c r="L1" s="81" t="str">
        <f>$D$6</f>
        <v>Trim 3</v>
      </c>
      <c r="M1" s="82" t="str">
        <f>$E$6</f>
        <v>Trim 4</v>
      </c>
      <c r="O1" s="39" t="s">
        <v>243</v>
      </c>
      <c r="P1" s="226"/>
      <c r="Q1" s="253" t="str">
        <f>J1</f>
        <v>Trim 1</v>
      </c>
      <c r="R1" s="224" t="str">
        <f>K1</f>
        <v>Trim 2</v>
      </c>
      <c r="S1" s="224" t="str">
        <f>L1</f>
        <v>Trim 3</v>
      </c>
      <c r="T1" s="225" t="str">
        <f>M1</f>
        <v>Trim 4</v>
      </c>
      <c r="U1" s="223" t="str">
        <f>Q1</f>
        <v>Trim 1</v>
      </c>
      <c r="V1" s="224" t="str">
        <f>R1</f>
        <v>Trim 2</v>
      </c>
      <c r="W1" s="224" t="str">
        <f>S1</f>
        <v>Trim 3</v>
      </c>
      <c r="X1" s="226" t="str">
        <f>T1</f>
        <v>Trim 4</v>
      </c>
      <c r="Y1" s="223" t="str">
        <f>U1</f>
        <v>Trim 1</v>
      </c>
      <c r="Z1" s="224" t="str">
        <f>V1</f>
        <v>Trim 2</v>
      </c>
      <c r="AA1" s="224" t="str">
        <f>W1</f>
        <v>Trim 3</v>
      </c>
      <c r="AB1" s="226" t="str">
        <f>X1</f>
        <v>Trim 4</v>
      </c>
      <c r="AC1" s="223" t="str">
        <f>Y1</f>
        <v>Trim 1</v>
      </c>
      <c r="AD1" s="224" t="str">
        <f>Z1</f>
        <v>Trim 2</v>
      </c>
      <c r="AE1" s="224" t="str">
        <f>AA1</f>
        <v>Trim 3</v>
      </c>
      <c r="AF1" s="226" t="str">
        <f>AB1</f>
        <v>Trim 4</v>
      </c>
    </row>
    <row r="2" spans="1:32" ht="13.5" thickBot="1">
      <c r="A2" s="42" t="s">
        <v>5</v>
      </c>
      <c r="B2" s="89">
        <f>($B$1/($D$2+$D$3))*D2</f>
        <v>2.5</v>
      </c>
      <c r="C2" s="67"/>
      <c r="D2" s="86">
        <v>1</v>
      </c>
      <c r="E2" s="87"/>
      <c r="F2" s="102"/>
      <c r="H2" s="228" t="s">
        <v>37</v>
      </c>
      <c r="I2" s="41"/>
      <c r="J2" s="66"/>
      <c r="K2" s="66"/>
      <c r="L2" s="66"/>
      <c r="M2" s="83"/>
      <c r="O2" s="316"/>
      <c r="P2" s="315"/>
      <c r="Q2" s="317" t="s">
        <v>250</v>
      </c>
      <c r="R2" s="306"/>
      <c r="S2" s="306"/>
      <c r="T2" s="318"/>
      <c r="U2" s="317" t="s">
        <v>251</v>
      </c>
      <c r="V2" s="306"/>
      <c r="W2" s="306"/>
      <c r="X2" s="318"/>
      <c r="Y2" s="317" t="s">
        <v>253</v>
      </c>
      <c r="Z2" s="306"/>
      <c r="AA2" s="306"/>
      <c r="AB2" s="318"/>
      <c r="AC2" s="320" t="s">
        <v>252</v>
      </c>
      <c r="AD2" s="321"/>
      <c r="AE2" s="321"/>
      <c r="AF2" s="322"/>
    </row>
    <row r="3" spans="1:32" ht="12.75">
      <c r="A3" s="42" t="s">
        <v>6</v>
      </c>
      <c r="B3" s="89">
        <f>($B$1/($D$2+$D$3))*D3</f>
        <v>7.5</v>
      </c>
      <c r="C3" s="67"/>
      <c r="D3" s="55">
        <v>3</v>
      </c>
      <c r="E3" s="78"/>
      <c r="F3" s="103"/>
      <c r="H3" s="229"/>
      <c r="I3" s="42" t="s">
        <v>1</v>
      </c>
      <c r="J3" s="172">
        <f>B10</f>
        <v>1375</v>
      </c>
      <c r="K3" s="172">
        <f>C10</f>
        <v>1522.5</v>
      </c>
      <c r="L3" s="172">
        <f>D10</f>
        <v>1674.1156250000001</v>
      </c>
      <c r="M3" s="173">
        <f>E10</f>
        <v>1829.9371562500003</v>
      </c>
      <c r="O3" s="258" t="s">
        <v>156</v>
      </c>
      <c r="P3" s="46" t="s">
        <v>157</v>
      </c>
      <c r="Q3" s="191">
        <f>(((J36+J55)/2)/-J25)*O10</f>
        <v>18.812254610624</v>
      </c>
      <c r="R3" s="191">
        <f>(((K36+J36)/2)/-K25)*O10</f>
        <v>18.77018532596587</v>
      </c>
      <c r="S3" s="191">
        <f>(((L36+K36)/2)/-L25)*O10</f>
        <v>18.584204358606872</v>
      </c>
      <c r="T3" s="192">
        <f>(((M36+L36)/2)/-M25)*O10</f>
        <v>16.71476763471149</v>
      </c>
      <c r="U3" s="214">
        <f>-J25/J23*Q3</f>
        <v>11.123658073270017</v>
      </c>
      <c r="V3" s="191">
        <f>-K25/K23*R3</f>
        <v>10.91029139653309</v>
      </c>
      <c r="W3" s="191">
        <f>-L25/L23*S3</f>
        <v>10.771937428472395</v>
      </c>
      <c r="X3" s="192">
        <f>-M25/M23*T3</f>
        <v>9.682990564384522</v>
      </c>
      <c r="Y3" s="214">
        <f>((J36)/-J25)*$O10</f>
        <v>19.636363636363637</v>
      </c>
      <c r="Z3" s="191">
        <f>((K36)/-K25)*$O10</f>
        <v>19.5</v>
      </c>
      <c r="AA3" s="191">
        <f>((L36)/-L25)*$O10</f>
        <v>19.384615384615387</v>
      </c>
      <c r="AB3" s="309">
        <f>((M36)/-M25)*$O10</f>
        <v>15.685714285714287</v>
      </c>
      <c r="AC3" s="214">
        <f>-J25/J23*Y3</f>
        <v>11.610952510176393</v>
      </c>
      <c r="AD3" s="191">
        <f>-K25/K23*Z3</f>
        <v>11.334500887323957</v>
      </c>
      <c r="AE3" s="191">
        <f>-L25/L23*AA3</f>
        <v>11.235878597157942</v>
      </c>
      <c r="AF3" s="192">
        <f>-M25/M23*AB3</f>
        <v>9.086852222150236</v>
      </c>
    </row>
    <row r="4" spans="1:32" ht="13.5" thickBot="1">
      <c r="A4" s="64" t="s">
        <v>3</v>
      </c>
      <c r="B4" s="90">
        <v>0.015</v>
      </c>
      <c r="C4" s="91">
        <v>0.015</v>
      </c>
      <c r="D4" s="91">
        <v>0.015</v>
      </c>
      <c r="E4" s="92">
        <v>0.015</v>
      </c>
      <c r="F4" s="104"/>
      <c r="H4" s="229"/>
      <c r="I4" s="42" t="s">
        <v>139</v>
      </c>
      <c r="J4" s="172">
        <f>B26</f>
        <v>1783.75</v>
      </c>
      <c r="K4" s="172">
        <f>C26</f>
        <v>4260.286538461539</v>
      </c>
      <c r="L4" s="172">
        <f>D26</f>
        <v>4708.218253658027</v>
      </c>
      <c r="M4" s="173">
        <f>E26</f>
        <v>5090.701054731397</v>
      </c>
      <c r="O4" s="259">
        <f>L54</f>
        <v>2.263513080046009</v>
      </c>
      <c r="P4" s="48" t="s">
        <v>159</v>
      </c>
      <c r="Q4" s="68">
        <f>(((J35+J54)/2)/B18)*O10</f>
        <v>34.90909090909091</v>
      </c>
      <c r="R4" s="68">
        <f>(((K35+J35)/2)/C18)*O10</f>
        <v>56.76392572944297</v>
      </c>
      <c r="S4" s="68">
        <f>(((L35+K35)/2)/D18)*O10</f>
        <v>56.331073987218446</v>
      </c>
      <c r="T4" s="165">
        <f>(((M35+L35)/2)/E18)*O10</f>
        <v>56.519150158044994</v>
      </c>
      <c r="U4" s="215">
        <f>B18/J23*Q4</f>
        <v>26.18181818181818</v>
      </c>
      <c r="V4" s="68">
        <f>C18/K23*R4</f>
        <v>42.57294429708222</v>
      </c>
      <c r="W4" s="68">
        <f>D18/L23*S4</f>
        <v>42.248305490413834</v>
      </c>
      <c r="X4" s="165">
        <f>E18/M23*T4</f>
        <v>42.389362618533745</v>
      </c>
      <c r="Y4" s="215">
        <f>((J35)/B18)*$O10</f>
        <v>60</v>
      </c>
      <c r="Z4" s="68">
        <f>((K35)/C18)*$O10</f>
        <v>59.34065934065934</v>
      </c>
      <c r="AA4" s="68">
        <f>((L35)/D18)*$O10</f>
        <v>58.69565217391305</v>
      </c>
      <c r="AB4" s="310">
        <f>((M35)/E18)*$O10</f>
        <v>59.34065934065934</v>
      </c>
      <c r="AC4" s="215">
        <f>B18/J23*Y4</f>
        <v>45</v>
      </c>
      <c r="AD4" s="68">
        <f>C18/K23*Z4</f>
        <v>44.50549450549451</v>
      </c>
      <c r="AE4" s="68">
        <f>D18/L23*AA4</f>
        <v>44.02173913043478</v>
      </c>
      <c r="AF4" s="165">
        <f>E18/M23*AB4</f>
        <v>44.50549450549451</v>
      </c>
    </row>
    <row r="5" spans="2:32" ht="13.5" thickBot="1">
      <c r="B5" s="1"/>
      <c r="H5" s="230" t="s">
        <v>20</v>
      </c>
      <c r="I5" s="48"/>
      <c r="J5" s="49">
        <f>J3+J4</f>
        <v>3158.75</v>
      </c>
      <c r="K5" s="49">
        <f>K3+K4</f>
        <v>5782.786538461539</v>
      </c>
      <c r="L5" s="49">
        <f>L3+L4</f>
        <v>6382.333878658027</v>
      </c>
      <c r="M5" s="121">
        <f>M3+M4</f>
        <v>6920.638210981397</v>
      </c>
      <c r="O5" s="230" t="s">
        <v>167</v>
      </c>
      <c r="P5" s="48" t="s">
        <v>158</v>
      </c>
      <c r="Q5" s="68">
        <f>(((J59+J41)/2)/B41)*O10</f>
        <v>9.75563909774436</v>
      </c>
      <c r="R5" s="68">
        <f>(((J41+K41)/2)/C41)*O10</f>
        <v>14.322209729219338</v>
      </c>
      <c r="S5" s="68">
        <f>(((K41+L41)/2)/D41)*O10</f>
        <v>14.091285936167068</v>
      </c>
      <c r="T5" s="165">
        <f>(((L41+M41)/2)/E41)*O10</f>
        <v>14.412932668724126</v>
      </c>
      <c r="U5" s="215">
        <f>B41/J23*Q5</f>
        <v>7.077272727272727</v>
      </c>
      <c r="V5" s="68">
        <f>C41/K23*R5</f>
        <v>10.192639257294429</v>
      </c>
      <c r="W5" s="68">
        <f>D41/L23*S5</f>
        <v>10.015652465398746</v>
      </c>
      <c r="X5" s="165">
        <f>E41/M23*T5</f>
        <v>9.829620080069853</v>
      </c>
      <c r="Y5" s="215">
        <f>((J41)/B41)*$O10</f>
        <v>15</v>
      </c>
      <c r="Z5" s="68">
        <f>((K41)/C41)*$O10</f>
        <v>14.835164835164836</v>
      </c>
      <c r="AA5" s="68">
        <f>((L41)/D41)*$O10</f>
        <v>14.673913043478262</v>
      </c>
      <c r="AB5" s="310">
        <f>((M41)/E41)*$O10</f>
        <v>14.835164835164836</v>
      </c>
      <c r="AC5" s="215">
        <f>SUM(J41:J43)/J23*$O10</f>
        <v>17.191090909090907</v>
      </c>
      <c r="AD5" s="68">
        <f>SUM(K41:K43)/K23*$O10</f>
        <v>16.0021807502842</v>
      </c>
      <c r="AE5" s="68">
        <f>SUM(L41:L43)/L23*$O10</f>
        <v>15.703156512470771</v>
      </c>
      <c r="AF5" s="165">
        <f>SUM(M41:M43)/M23*$O10</f>
        <v>16.147941953447468</v>
      </c>
    </row>
    <row r="6" spans="1:32" ht="13.5" thickBot="1">
      <c r="A6" s="39" t="s">
        <v>0</v>
      </c>
      <c r="B6" s="85" t="s">
        <v>144</v>
      </c>
      <c r="C6" s="85" t="s">
        <v>145</v>
      </c>
      <c r="D6" s="85" t="s">
        <v>146</v>
      </c>
      <c r="E6" s="126" t="s">
        <v>147</v>
      </c>
      <c r="F6" s="106"/>
      <c r="H6" s="229" t="s">
        <v>39</v>
      </c>
      <c r="I6" s="42"/>
      <c r="J6" s="68"/>
      <c r="K6" s="68"/>
      <c r="L6" s="68"/>
      <c r="M6" s="165"/>
      <c r="O6" s="301">
        <v>0.035</v>
      </c>
      <c r="P6" s="212" t="s">
        <v>160</v>
      </c>
      <c r="Q6" s="177">
        <f aca="true" t="shared" si="0" ref="Q6:X6">Q3+Q4-Q5</f>
        <v>43.96570642197054</v>
      </c>
      <c r="R6" s="177">
        <f t="shared" si="0"/>
        <v>61.21190132618949</v>
      </c>
      <c r="S6" s="177">
        <f t="shared" si="0"/>
        <v>60.823992409658246</v>
      </c>
      <c r="T6" s="178">
        <f t="shared" si="0"/>
        <v>58.82098512403236</v>
      </c>
      <c r="U6" s="179">
        <f t="shared" si="0"/>
        <v>30.228203527815467</v>
      </c>
      <c r="V6" s="177">
        <f t="shared" si="0"/>
        <v>43.29059643632088</v>
      </c>
      <c r="W6" s="177">
        <f t="shared" si="0"/>
        <v>43.00459045348748</v>
      </c>
      <c r="X6" s="178">
        <f t="shared" si="0"/>
        <v>42.24273310284841</v>
      </c>
      <c r="Y6" s="179">
        <f>Y3+Y4-Y5</f>
        <v>64.63636363636364</v>
      </c>
      <c r="Z6" s="177">
        <f>Z3+Z4-Z5</f>
        <v>64.00549450549451</v>
      </c>
      <c r="AA6" s="177">
        <f>AA3+AA4-AA5</f>
        <v>63.40635451505017</v>
      </c>
      <c r="AB6" s="311">
        <f>AB3+AB4-AB5</f>
        <v>60.191208791208794</v>
      </c>
      <c r="AC6" s="179">
        <f>AC3+AC4-AC5</f>
        <v>39.419861601085486</v>
      </c>
      <c r="AD6" s="177">
        <f>AD3+AD4-AD5</f>
        <v>39.83781464253427</v>
      </c>
      <c r="AE6" s="177">
        <f>AE3+AE4-AE5</f>
        <v>39.554461215121954</v>
      </c>
      <c r="AF6" s="178">
        <f>AF3+AF4-AF5</f>
        <v>37.44440477419728</v>
      </c>
    </row>
    <row r="7" spans="1:32" ht="12.75">
      <c r="A7" s="41" t="s">
        <v>141</v>
      </c>
      <c r="B7" s="93">
        <v>550</v>
      </c>
      <c r="C7" s="93">
        <v>600</v>
      </c>
      <c r="D7" s="93">
        <v>650</v>
      </c>
      <c r="E7" s="127">
        <v>700</v>
      </c>
      <c r="F7" s="107"/>
      <c r="H7" s="229"/>
      <c r="I7" s="42" t="s">
        <v>49</v>
      </c>
      <c r="J7" s="174">
        <f>B79</f>
        <v>700</v>
      </c>
      <c r="K7" s="174">
        <f>C79</f>
        <v>630</v>
      </c>
      <c r="L7" s="174">
        <f>D79</f>
        <v>665</v>
      </c>
      <c r="M7" s="175">
        <f>E79</f>
        <v>840</v>
      </c>
      <c r="O7" s="230" t="s">
        <v>168</v>
      </c>
      <c r="P7" s="212" t="s">
        <v>161</v>
      </c>
      <c r="Q7" s="177">
        <f>O10/Q6</f>
        <v>2.047050015214249</v>
      </c>
      <c r="R7" s="177">
        <f>O10/R6</f>
        <v>1.4703023113169258</v>
      </c>
      <c r="S7" s="177">
        <f>O10/S6</f>
        <v>1.4796792587016845</v>
      </c>
      <c r="T7" s="178">
        <f>O10/T6</f>
        <v>1.5300661797863855</v>
      </c>
      <c r="U7" s="179">
        <f>$O$10/U6</f>
        <v>2.9773519262295416</v>
      </c>
      <c r="V7" s="177">
        <f>$O$10/V6</f>
        <v>2.0789734355447655</v>
      </c>
      <c r="W7" s="177">
        <f>$O$10/W6</f>
        <v>2.0927998395273963</v>
      </c>
      <c r="X7" s="178">
        <f>$O$10/X6</f>
        <v>2.1305439631682197</v>
      </c>
      <c r="Y7" s="179">
        <f>$O10/Y6</f>
        <v>1.3924050632911391</v>
      </c>
      <c r="Z7" s="177">
        <f>$O10/Z6</f>
        <v>1.406129281483389</v>
      </c>
      <c r="AA7" s="177">
        <f>$O10/AA6</f>
        <v>1.419416093045336</v>
      </c>
      <c r="AB7" s="311">
        <f>$O10/AB6</f>
        <v>1.4952349654945776</v>
      </c>
      <c r="AC7" s="179">
        <f>$O$10/AC6</f>
        <v>2.283113038568398</v>
      </c>
      <c r="AD7" s="177">
        <f>$O$10/AD6</f>
        <v>2.2591600670762766</v>
      </c>
      <c r="AE7" s="177">
        <f>$O$10/AE6</f>
        <v>2.2753438483341637</v>
      </c>
      <c r="AF7" s="178">
        <f>$O$10/AF6</f>
        <v>2.403563377298455</v>
      </c>
    </row>
    <row r="8" spans="1:32" ht="13.5" thickBot="1">
      <c r="A8" s="42" t="s">
        <v>4</v>
      </c>
      <c r="B8" s="89">
        <f>B1</f>
        <v>10</v>
      </c>
      <c r="C8" s="89">
        <f>B8+B8*B4</f>
        <v>10.15</v>
      </c>
      <c r="D8" s="89">
        <f>C8+C8*C4</f>
        <v>10.30225</v>
      </c>
      <c r="E8" s="125">
        <f>D8+D8*D4</f>
        <v>10.456783750000001</v>
      </c>
      <c r="F8" s="108"/>
      <c r="H8" s="229"/>
      <c r="I8" s="42" t="s">
        <v>170</v>
      </c>
      <c r="J8" s="174">
        <f>B87</f>
        <v>0</v>
      </c>
      <c r="K8" s="174">
        <f>C87</f>
        <v>300</v>
      </c>
      <c r="L8" s="174">
        <f>D87</f>
        <v>270</v>
      </c>
      <c r="M8" s="175">
        <f>E87</f>
        <v>285</v>
      </c>
      <c r="N8" s="38"/>
      <c r="O8" s="302">
        <v>18</v>
      </c>
      <c r="P8" s="251" t="s">
        <v>162</v>
      </c>
      <c r="Q8" s="172">
        <f>J12/Q7</f>
        <v>2147.545639168579</v>
      </c>
      <c r="R8" s="172">
        <f>K12/R7</f>
        <v>3740.9408211913196</v>
      </c>
      <c r="S8" s="172">
        <f>L12/S7</f>
        <v>4023.3841654903686</v>
      </c>
      <c r="T8" s="173">
        <f>M12/T7</f>
        <v>4210.830195379696</v>
      </c>
      <c r="U8" s="216">
        <f>J23/U7</f>
        <v>1847.2791044776118</v>
      </c>
      <c r="V8" s="217">
        <f>K23/V7</f>
        <v>2929.330358857713</v>
      </c>
      <c r="W8" s="217">
        <f>L23/W7</f>
        <v>3199.7625255515213</v>
      </c>
      <c r="X8" s="218">
        <f>M23/X7</f>
        <v>3435.6243060646298</v>
      </c>
      <c r="Y8" s="312">
        <f>J12/Y7</f>
        <v>3157.2230303030306</v>
      </c>
      <c r="Z8" s="313">
        <f>K12/Z7</f>
        <v>3911.6701489175357</v>
      </c>
      <c r="AA8" s="313">
        <f>L12/AA7</f>
        <v>4194.202199505946</v>
      </c>
      <c r="AB8" s="319">
        <f>M12/AB7</f>
        <v>4308.920684343866</v>
      </c>
      <c r="AC8" s="312">
        <f>J12/AC7</f>
        <v>1925.4996397768734</v>
      </c>
      <c r="AD8" s="313">
        <f>K12/AD7</f>
        <v>2434.672078378113</v>
      </c>
      <c r="AE8" s="313">
        <f>L12/AE7</f>
        <v>2616.447665184081</v>
      </c>
      <c r="AF8" s="314">
        <f>M12/AF7</f>
        <v>2680.540455735922</v>
      </c>
    </row>
    <row r="9" spans="1:30" ht="12.75">
      <c r="A9" s="43" t="s">
        <v>2</v>
      </c>
      <c r="B9" s="94">
        <f>B7*B8</f>
        <v>5500</v>
      </c>
      <c r="C9" s="94">
        <f>C7*C8</f>
        <v>6090</v>
      </c>
      <c r="D9" s="94">
        <f>D7*D8</f>
        <v>6696.462500000001</v>
      </c>
      <c r="E9" s="128">
        <f>E7*E8</f>
        <v>7319.748625000001</v>
      </c>
      <c r="F9" s="109"/>
      <c r="H9" s="229"/>
      <c r="I9" s="42" t="s">
        <v>50</v>
      </c>
      <c r="J9" s="174">
        <f>B42</f>
        <v>1995</v>
      </c>
      <c r="K9" s="174">
        <f>C42</f>
        <v>2167.025</v>
      </c>
      <c r="L9" s="174">
        <f>D42</f>
        <v>2379.81975</v>
      </c>
      <c r="M9" s="175">
        <f>E42</f>
        <v>2496.0342811250002</v>
      </c>
      <c r="O9" s="244" t="s">
        <v>171</v>
      </c>
      <c r="P9" s="48" t="s">
        <v>163</v>
      </c>
      <c r="Q9" s="198">
        <f>J33+J35+J36-J41-J42-J43</f>
        <v>2408.9915422885574</v>
      </c>
      <c r="R9" s="198">
        <f>K33+K35+K36-K41-K42-K43</f>
        <v>2695.692124144818</v>
      </c>
      <c r="S9" s="198">
        <f>L33+L35+L36-L41-L42-L43</f>
        <v>2943.0551803863177</v>
      </c>
      <c r="T9" s="204">
        <f>M33+M35+M36-M41-M42-M43</f>
        <v>3045.3736706652667</v>
      </c>
      <c r="U9" s="211" t="s">
        <v>239</v>
      </c>
      <c r="V9" s="210" t="s">
        <v>240</v>
      </c>
      <c r="W9" s="210" t="s">
        <v>241</v>
      </c>
      <c r="X9" s="254" t="s">
        <v>242</v>
      </c>
      <c r="Y9" s="18"/>
      <c r="Z9" s="18">
        <f>Q9-Q10</f>
        <v>3046.3748756218906</v>
      </c>
      <c r="AA9" s="18">
        <f>R9-R10</f>
        <v>2413.219521580715</v>
      </c>
      <c r="AB9" s="18">
        <f>S9-S10</f>
        <v>2514.0394011931744</v>
      </c>
      <c r="AC9" s="18">
        <f>T9-T10</f>
        <v>2567.5843304576415</v>
      </c>
      <c r="AD9" s="18"/>
    </row>
    <row r="10" spans="1:24" ht="13.5" thickBot="1">
      <c r="A10" s="42" t="s">
        <v>113</v>
      </c>
      <c r="B10" s="136">
        <f>(B9/($D$2+$D$3))*$D$2</f>
        <v>1375</v>
      </c>
      <c r="C10" s="136">
        <f>(C9/($D$2+$D$3))*$D$2</f>
        <v>1522.5</v>
      </c>
      <c r="D10" s="136">
        <f>(D9/($D$2+$D$3))*$D$2</f>
        <v>1674.1156250000001</v>
      </c>
      <c r="E10" s="137">
        <f>(E9/($D$2+$D$3))*$D$2</f>
        <v>1829.9371562500003</v>
      </c>
      <c r="F10" s="108"/>
      <c r="H10" s="229"/>
      <c r="I10" s="53" t="s">
        <v>140</v>
      </c>
      <c r="J10" s="174">
        <f>B62</f>
        <v>1530</v>
      </c>
      <c r="K10" s="174">
        <f>C62</f>
        <v>2117.621153846154</v>
      </c>
      <c r="L10" s="174">
        <f>D62</f>
        <v>2318.19541680602</v>
      </c>
      <c r="M10" s="175">
        <f>E62</f>
        <v>2449.1940161459033</v>
      </c>
      <c r="O10" s="303">
        <v>90</v>
      </c>
      <c r="P10" s="48" t="s">
        <v>165</v>
      </c>
      <c r="Q10" s="198">
        <f>J18-J17</f>
        <v>-637.3833333333332</v>
      </c>
      <c r="R10" s="198">
        <f>K18-K17</f>
        <v>282.472602564103</v>
      </c>
      <c r="S10" s="198">
        <f>L18-L17</f>
        <v>429.0157791931433</v>
      </c>
      <c r="T10" s="204">
        <f>M18-M17</f>
        <v>477.7893402076252</v>
      </c>
      <c r="U10" s="255">
        <f>-J27/(J26/J23)</f>
        <v>4189.3328331144885</v>
      </c>
      <c r="V10" s="256">
        <f>-K27/(K26/K23)</f>
        <v>3618.1843542937145</v>
      </c>
      <c r="W10" s="256">
        <f>-L27/(L26/L23)</f>
        <v>3794.363969989748</v>
      </c>
      <c r="X10" s="257">
        <f>-M27/(M26/M23)</f>
        <v>4786.741085553677</v>
      </c>
    </row>
    <row r="11" spans="1:20" ht="12.75">
      <c r="A11" s="42" t="s">
        <v>114</v>
      </c>
      <c r="B11" s="89">
        <f>(B9/($D$2+$D$3))*$D$3</f>
        <v>4125</v>
      </c>
      <c r="C11" s="89">
        <f>(C9/($D$2+$D$3))*$D$3</f>
        <v>4567.5</v>
      </c>
      <c r="D11" s="89">
        <f>(D9/($D$2+$D$3))*$D$3</f>
        <v>5022.346875</v>
      </c>
      <c r="E11" s="125">
        <f>(E9/($D$2+$D$3))*$D$3</f>
        <v>5489.811468750001</v>
      </c>
      <c r="F11" s="108"/>
      <c r="H11" s="229"/>
      <c r="I11" s="53" t="s">
        <v>108</v>
      </c>
      <c r="J11" s="174">
        <f>B102</f>
        <v>171.13333333333338</v>
      </c>
      <c r="K11" s="174">
        <f>C102</f>
        <v>285.6677820512821</v>
      </c>
      <c r="L11" s="174">
        <f>D102</f>
        <v>320.3029326588631</v>
      </c>
      <c r="M11" s="175">
        <f>E102</f>
        <v>372.62057350286807</v>
      </c>
      <c r="O11" s="244" t="s">
        <v>174</v>
      </c>
      <c r="P11" s="48" t="s">
        <v>164</v>
      </c>
      <c r="Q11" s="198">
        <f>Q9+Q10</f>
        <v>1771.6082089552242</v>
      </c>
      <c r="R11" s="198">
        <f>R9+R10</f>
        <v>2978.164726708921</v>
      </c>
      <c r="S11" s="198">
        <f>S9+S10</f>
        <v>3372.070959579461</v>
      </c>
      <c r="T11" s="204">
        <f>T9+T10</f>
        <v>3523.163010872892</v>
      </c>
    </row>
    <row r="12" spans="1:20" ht="13.5" thickBot="1">
      <c r="A12" s="43" t="s">
        <v>2</v>
      </c>
      <c r="B12" s="94">
        <f>B10+B11</f>
        <v>5500</v>
      </c>
      <c r="C12" s="94">
        <f>C10+C11</f>
        <v>6090</v>
      </c>
      <c r="D12" s="94">
        <f>D10+D11</f>
        <v>6696.462500000001</v>
      </c>
      <c r="E12" s="128">
        <f>E10+E11</f>
        <v>7319.748625000001</v>
      </c>
      <c r="F12" s="109"/>
      <c r="H12" s="230" t="s">
        <v>20</v>
      </c>
      <c r="I12" s="48"/>
      <c r="J12" s="70">
        <f>SUM(J7:J11)</f>
        <v>4396.133333333333</v>
      </c>
      <c r="K12" s="70">
        <f>SUM(K7:K11)</f>
        <v>5500.313935897436</v>
      </c>
      <c r="L12" s="70">
        <f>SUM(L7:L11)</f>
        <v>5953.318099464884</v>
      </c>
      <c r="M12" s="166">
        <f>SUM(M7:M11)</f>
        <v>6442.8488707737715</v>
      </c>
      <c r="O12" s="304">
        <v>1</v>
      </c>
      <c r="P12" s="48" t="s">
        <v>166</v>
      </c>
      <c r="Q12" s="68">
        <f>J38+Q9</f>
        <v>2408.9915422885574</v>
      </c>
      <c r="R12" s="68">
        <f>K38+R9</f>
        <v>2695.692124144818</v>
      </c>
      <c r="S12" s="68">
        <f>L38+S9</f>
        <v>2943.0551803863177</v>
      </c>
      <c r="T12" s="165">
        <f>M38+T9</f>
        <v>3045.3736706652667</v>
      </c>
    </row>
    <row r="13" spans="1:20" ht="13.5" thickBot="1">
      <c r="A13" s="44" t="s">
        <v>102</v>
      </c>
      <c r="B13" s="95">
        <f>0.17*B12</f>
        <v>935.0000000000001</v>
      </c>
      <c r="C13" s="95">
        <f>0.17*C12</f>
        <v>1035.3000000000002</v>
      </c>
      <c r="D13" s="95">
        <f>0.17*D12</f>
        <v>1138.3986250000003</v>
      </c>
      <c r="E13" s="129">
        <f>0.17*E12</f>
        <v>1244.3572662500003</v>
      </c>
      <c r="F13" s="109"/>
      <c r="H13" s="229"/>
      <c r="I13" s="53"/>
      <c r="J13" s="68"/>
      <c r="K13" s="68"/>
      <c r="L13" s="68"/>
      <c r="M13" s="77"/>
      <c r="O13" s="230" t="s">
        <v>175</v>
      </c>
      <c r="P13" s="251" t="s">
        <v>173</v>
      </c>
      <c r="Q13" s="172">
        <f>POWER(($O8*IF(J16&gt;0,J16,-J16)*2/$O6),1/2)</f>
        <v>809.6877705105132</v>
      </c>
      <c r="R13" s="172">
        <f>POWER(($O8*IF(K16&gt;0,K16,-K16)*2/$O6),1/2)</f>
        <v>539.0206381500144</v>
      </c>
      <c r="S13" s="172">
        <f>POWER(($O8*IF(L16&gt;0,L16,-L16)*2/$O6),1/2)</f>
        <v>664.2841055485039</v>
      </c>
      <c r="T13" s="172">
        <f>POWER(($O8*IF(M16&gt;0,M16,-M16)*2/$O6),1/2)</f>
        <v>701.0281479466836</v>
      </c>
    </row>
    <row r="14" spans="1:20" ht="13.5" thickBot="1">
      <c r="A14" s="39" t="s">
        <v>131</v>
      </c>
      <c r="B14" s="96">
        <f>B12-B13</f>
        <v>4565</v>
      </c>
      <c r="C14" s="96">
        <f>C12-C13</f>
        <v>5054.7</v>
      </c>
      <c r="D14" s="96">
        <f>D12-D13</f>
        <v>5558.063875</v>
      </c>
      <c r="E14" s="130">
        <f>E12-E13</f>
        <v>6075.391358750001</v>
      </c>
      <c r="F14" s="108"/>
      <c r="H14" s="230" t="s">
        <v>42</v>
      </c>
      <c r="I14" s="48"/>
      <c r="J14" s="171">
        <v>600</v>
      </c>
      <c r="K14" s="70">
        <f>J20</f>
        <v>0</v>
      </c>
      <c r="L14" s="70">
        <f>K20</f>
        <v>0</v>
      </c>
      <c r="M14" s="166">
        <f>L20</f>
        <v>0</v>
      </c>
      <c r="O14" s="305">
        <v>25</v>
      </c>
      <c r="P14" s="43" t="s">
        <v>177</v>
      </c>
      <c r="Q14" s="221">
        <f>IF(J16&gt;0,J16,-J16)/Q13</f>
        <v>0.7871964435518879</v>
      </c>
      <c r="R14" s="221">
        <f>IF(K16&gt;0,K16,-K16)/R13</f>
        <v>0.5240478426458474</v>
      </c>
      <c r="S14" s="221">
        <f>IF(L16&gt;0,L16,-L16)/S13</f>
        <v>0.6458317692832678</v>
      </c>
      <c r="T14" s="221">
        <f>IF(M16&gt;0,M16,-M16)/T13</f>
        <v>0.6815551438370535</v>
      </c>
    </row>
    <row r="15" spans="8:20" ht="12.75">
      <c r="H15" s="230" t="s">
        <v>43</v>
      </c>
      <c r="I15" s="48"/>
      <c r="J15" s="70">
        <f>J5-J12</f>
        <v>-1237.3833333333332</v>
      </c>
      <c r="K15" s="70">
        <f>K5-K12</f>
        <v>282.472602564103</v>
      </c>
      <c r="L15" s="70">
        <f>L5-L12</f>
        <v>429.0157791931433</v>
      </c>
      <c r="M15" s="166">
        <f>M5-M12</f>
        <v>477.7893402076252</v>
      </c>
      <c r="O15" s="227" t="s">
        <v>233</v>
      </c>
      <c r="P15" s="46" t="s">
        <v>169</v>
      </c>
      <c r="Q15" s="193">
        <f>POWER(($O14*B39*2/$O12),1/2)</f>
        <v>168.81943016134133</v>
      </c>
      <c r="R15" s="193">
        <f>POWER(($O14*C39*2/$O12),1/2)</f>
        <v>174.64249196572982</v>
      </c>
      <c r="S15" s="193">
        <f>POWER(($O14*D39*2/$O12),1/2)</f>
        <v>181.6590212458495</v>
      </c>
      <c r="T15" s="194">
        <f>POWER(($O14*E39*2/$O12),1/2)</f>
        <v>184.66185312619388</v>
      </c>
    </row>
    <row r="16" spans="8:20" ht="13.5" thickBot="1">
      <c r="H16" s="230" t="s">
        <v>44</v>
      </c>
      <c r="I16" s="48"/>
      <c r="J16" s="70">
        <f>J14+J15</f>
        <v>-637.3833333333332</v>
      </c>
      <c r="K16" s="70">
        <f>K14+K15</f>
        <v>282.472602564103</v>
      </c>
      <c r="L16" s="70">
        <f>L14+L15</f>
        <v>429.0157791931433</v>
      </c>
      <c r="M16" s="166">
        <f>M14+M15</f>
        <v>477.7893402076252</v>
      </c>
      <c r="O16" s="248">
        <f>(J16+K16+L16+M16)/4</f>
        <v>137.97359715788457</v>
      </c>
      <c r="P16" s="43" t="s">
        <v>176</v>
      </c>
      <c r="Q16" s="221">
        <f>B39/Q15</f>
        <v>3.376388603226826</v>
      </c>
      <c r="R16" s="221">
        <f>C39/R15</f>
        <v>3.4928498393145957</v>
      </c>
      <c r="S16" s="221">
        <f>D39/S15</f>
        <v>3.6331804249169903</v>
      </c>
      <c r="T16" s="222">
        <f>E39/T15</f>
        <v>3.6932370625238775</v>
      </c>
    </row>
    <row r="17" spans="1:20" ht="13.5" thickBot="1">
      <c r="A17" s="44" t="s">
        <v>7</v>
      </c>
      <c r="B17" s="45" t="str">
        <f>$B$6</f>
        <v>Trim 1</v>
      </c>
      <c r="C17" s="45" t="str">
        <f>$C$6</f>
        <v>Trim 2</v>
      </c>
      <c r="D17" s="45" t="str">
        <f>$D$6</f>
        <v>Trim 3</v>
      </c>
      <c r="E17" s="118" t="str">
        <f>$E$6</f>
        <v>Trim 4</v>
      </c>
      <c r="F17" s="19"/>
      <c r="H17" s="230" t="s">
        <v>45</v>
      </c>
      <c r="I17" s="48"/>
      <c r="J17" s="49">
        <f>IF(J16&lt;0,-J16+J19,0)</f>
        <v>637.3833333333332</v>
      </c>
      <c r="K17" s="49">
        <f>IF(K16&lt;0,-K16+K19,0)</f>
        <v>0</v>
      </c>
      <c r="L17" s="49">
        <f>IF(L16&lt;0,-L16+L19,0)</f>
        <v>0</v>
      </c>
      <c r="M17" s="121">
        <f>IF(M16&lt;0,-M16+M19,0)</f>
        <v>0</v>
      </c>
      <c r="O17" s="227" t="s">
        <v>234</v>
      </c>
      <c r="P17" s="252" t="s">
        <v>231</v>
      </c>
      <c r="Q17" s="219">
        <f>POWER((3/4*O8*O18/Q18),1/3)</f>
        <v>1342.319214923486</v>
      </c>
      <c r="R17" s="213" t="s">
        <v>238</v>
      </c>
      <c r="S17" s="219">
        <f>Q20-Q17</f>
        <v>2684.638429846972</v>
      </c>
      <c r="T17" s="220"/>
    </row>
    <row r="18" spans="1:20" ht="12.75">
      <c r="A18" s="46" t="s">
        <v>115</v>
      </c>
      <c r="B18" s="47">
        <f>B11</f>
        <v>4125</v>
      </c>
      <c r="C18" s="47">
        <f>C11</f>
        <v>4567.5</v>
      </c>
      <c r="D18" s="47">
        <f>D11</f>
        <v>5022.346875</v>
      </c>
      <c r="E18" s="119">
        <f>E11</f>
        <v>5489.811468750001</v>
      </c>
      <c r="F18" s="109"/>
      <c r="H18" s="229" t="s">
        <v>46</v>
      </c>
      <c r="I18" s="42"/>
      <c r="J18" s="68">
        <f>IF(J16&gt;0,J16-J19,0)</f>
        <v>0</v>
      </c>
      <c r="K18" s="68">
        <f>IF(K16&gt;0,K16-K19,0)</f>
        <v>282.472602564103</v>
      </c>
      <c r="L18" s="68">
        <f>IF(L16&gt;0,L16-L19,0)</f>
        <v>429.0157791931433</v>
      </c>
      <c r="M18" s="165">
        <f>IF(M16&gt;0,M16-M19,0)</f>
        <v>477.7893402076252</v>
      </c>
      <c r="O18" s="249">
        <f>(POWER((J16-O16),2)+POWER((K16-O16),2)+POWER((L16-O16),2)+POWER((M16-O16),2))/4</f>
        <v>205559.65579311035</v>
      </c>
      <c r="P18" s="48" t="s">
        <v>232</v>
      </c>
      <c r="Q18" s="241">
        <f>POWER(($O6+1),1/30)-1</f>
        <v>0.0011473719520513903</v>
      </c>
      <c r="R18" s="67"/>
      <c r="S18" s="67"/>
      <c r="T18" s="77"/>
    </row>
    <row r="19" spans="1:20" ht="12.75">
      <c r="A19" s="48" t="s">
        <v>116</v>
      </c>
      <c r="B19" s="97">
        <v>90</v>
      </c>
      <c r="C19" s="97">
        <v>91</v>
      </c>
      <c r="D19" s="97">
        <v>92</v>
      </c>
      <c r="E19" s="120">
        <v>91</v>
      </c>
      <c r="F19" s="110"/>
      <c r="H19" s="229" t="s">
        <v>47</v>
      </c>
      <c r="I19" s="42"/>
      <c r="J19" s="74"/>
      <c r="K19" s="74"/>
      <c r="L19" s="74"/>
      <c r="M19" s="167"/>
      <c r="O19" s="230" t="s">
        <v>235</v>
      </c>
      <c r="P19" s="48" t="s">
        <v>236</v>
      </c>
      <c r="Q19" s="68">
        <f>4/3*Q17</f>
        <v>1789.7589532313145</v>
      </c>
      <c r="R19" s="67"/>
      <c r="S19" s="67"/>
      <c r="T19" s="77"/>
    </row>
    <row r="20" spans="1:20" ht="13.5" thickBot="1">
      <c r="A20" s="48" t="s">
        <v>117</v>
      </c>
      <c r="B20" s="49">
        <f>B18/B19</f>
        <v>45.833333333333336</v>
      </c>
      <c r="C20" s="49">
        <f>C18/C19</f>
        <v>50.19230769230769</v>
      </c>
      <c r="D20" s="49">
        <f>D18/D19</f>
        <v>54.59072690217391</v>
      </c>
      <c r="E20" s="121">
        <f>E18/E19</f>
        <v>60.32759855769232</v>
      </c>
      <c r="F20" s="109"/>
      <c r="H20" s="231" t="s">
        <v>48</v>
      </c>
      <c r="I20" s="50"/>
      <c r="J20" s="71">
        <f>J16+J17-J18</f>
        <v>0</v>
      </c>
      <c r="K20" s="71">
        <f>K16+K17-K18</f>
        <v>0</v>
      </c>
      <c r="L20" s="71">
        <f>L16+L17-L18</f>
        <v>0</v>
      </c>
      <c r="M20" s="168">
        <f>M16+M17-M18</f>
        <v>0</v>
      </c>
      <c r="O20" s="250">
        <f>POWER(O18,0.5)</f>
        <v>453.3868721005388</v>
      </c>
      <c r="P20" s="50" t="s">
        <v>237</v>
      </c>
      <c r="Q20" s="190">
        <f>3*Q17</f>
        <v>4026.957644770458</v>
      </c>
      <c r="R20" s="72"/>
      <c r="S20" s="72"/>
      <c r="T20" s="183"/>
    </row>
    <row r="21" spans="1:18" ht="13.5" thickBot="1">
      <c r="A21" s="48" t="s">
        <v>119</v>
      </c>
      <c r="B21" s="69">
        <f>((1+$D$3)*30)/2</f>
        <v>60</v>
      </c>
      <c r="C21" s="69">
        <f>((1+$D$3)*30)/2</f>
        <v>60</v>
      </c>
      <c r="D21" s="69">
        <f>((1+$D$3)*30)/2</f>
        <v>60</v>
      </c>
      <c r="E21" s="122">
        <f>((1+$D$3)*30)/2</f>
        <v>60</v>
      </c>
      <c r="F21" s="111"/>
      <c r="O21" s="306" t="s">
        <v>244</v>
      </c>
      <c r="P21" s="306"/>
      <c r="Q21" s="306"/>
      <c r="R21" s="306"/>
    </row>
    <row r="22" spans="1:18" ht="13.5" thickBot="1">
      <c r="A22" s="50" t="s">
        <v>120</v>
      </c>
      <c r="B22" s="51">
        <f>IF(B19&gt;B21,B20*B21,B18)</f>
        <v>2750</v>
      </c>
      <c r="C22" s="51">
        <f>IF(C19&gt;C21,C20*C21,IF(C21&lt;60,C18+B18*(B21-30)/B19,C18+B18))</f>
        <v>3011.5384615384614</v>
      </c>
      <c r="D22" s="51">
        <f>IF(D19&gt;D21,D20*D21,IF(D21&lt;60,D18+C18*(C21-30)/C19,IF(D21&lt;90,D18+C18+(D21-60)/D19*B18,D18+C18+B18)))</f>
        <v>3275.443614130435</v>
      </c>
      <c r="E22" s="123">
        <f>IF(E19&gt;E21,E20*E21,IF(E21&lt;60,E18+D18*(D21-30)/D19,IF(E21&lt;90,E18+D18+(E21-60)/C19*C18,IF(E21&lt;120,E18+D18+C18+(E21-90)/B19*B18,E18+D18+C18+B18))))</f>
        <v>3619.655913461539</v>
      </c>
      <c r="F22" s="109"/>
      <c r="H22" s="232" t="s">
        <v>54</v>
      </c>
      <c r="I22" s="39"/>
      <c r="J22" s="40" t="str">
        <f>$B$6</f>
        <v>Trim 1</v>
      </c>
      <c r="K22" s="40" t="str">
        <f>$C$6</f>
        <v>Trim 2</v>
      </c>
      <c r="L22" s="40" t="str">
        <f>$D$6</f>
        <v>Trim 3</v>
      </c>
      <c r="M22" s="84" t="str">
        <f>$E$6</f>
        <v>Trim 4</v>
      </c>
      <c r="O22" s="223" t="str">
        <f>J22</f>
        <v>Trim 1</v>
      </c>
      <c r="P22" s="224" t="str">
        <f>K22</f>
        <v>Trim 2</v>
      </c>
      <c r="Q22" s="224" t="str">
        <f>L22</f>
        <v>Trim 3</v>
      </c>
      <c r="R22" s="226" t="str">
        <f>M22</f>
        <v>Trim 4</v>
      </c>
    </row>
    <row r="23" spans="1:18" ht="12.75">
      <c r="A23" s="61" t="s">
        <v>118</v>
      </c>
      <c r="B23" s="283">
        <v>450</v>
      </c>
      <c r="C23" s="148">
        <f>B27</f>
        <v>2750</v>
      </c>
      <c r="D23" s="148">
        <f>C27</f>
        <v>3011.5384615384614</v>
      </c>
      <c r="E23" s="156">
        <f>D27</f>
        <v>3275.443614130435</v>
      </c>
      <c r="F23" s="108"/>
      <c r="H23" s="228" t="s">
        <v>55</v>
      </c>
      <c r="I23" s="41"/>
      <c r="J23" s="169">
        <f>B12</f>
        <v>5500</v>
      </c>
      <c r="K23" s="169">
        <f>C12</f>
        <v>6090</v>
      </c>
      <c r="L23" s="169">
        <f>D12</f>
        <v>6696.462500000001</v>
      </c>
      <c r="M23" s="233">
        <f>E12</f>
        <v>7319.748625000001</v>
      </c>
      <c r="O23" s="260">
        <v>1</v>
      </c>
      <c r="P23" s="261">
        <v>1</v>
      </c>
      <c r="Q23" s="261">
        <v>1</v>
      </c>
      <c r="R23" s="262">
        <v>1</v>
      </c>
    </row>
    <row r="24" spans="1:18" ht="12.75">
      <c r="A24" s="42" t="s">
        <v>148</v>
      </c>
      <c r="B24" s="89">
        <f>B18</f>
        <v>4125</v>
      </c>
      <c r="C24" s="89">
        <f>C18</f>
        <v>4567.5</v>
      </c>
      <c r="D24" s="89">
        <f>D18</f>
        <v>5022.346875</v>
      </c>
      <c r="E24" s="125">
        <f>E18</f>
        <v>5489.811468750001</v>
      </c>
      <c r="F24" s="108"/>
      <c r="H24" s="228"/>
      <c r="I24" s="41" t="s">
        <v>110</v>
      </c>
      <c r="J24" s="169">
        <f>-B13</f>
        <v>-935.0000000000001</v>
      </c>
      <c r="K24" s="169">
        <f>-C13</f>
        <v>-1035.3000000000002</v>
      </c>
      <c r="L24" s="169">
        <f>-D13</f>
        <v>-1138.3986250000003</v>
      </c>
      <c r="M24" s="233">
        <f>-E13</f>
        <v>-1244.3572662500003</v>
      </c>
      <c r="O24" s="263">
        <f aca="true" t="shared" si="1" ref="O24:R27">J24/J$23</f>
        <v>-0.17</v>
      </c>
      <c r="P24" s="264">
        <f t="shared" si="1"/>
        <v>-0.17000000000000004</v>
      </c>
      <c r="Q24" s="264">
        <f t="shared" si="1"/>
        <v>-0.17</v>
      </c>
      <c r="R24" s="265">
        <f t="shared" si="1"/>
        <v>-0.17</v>
      </c>
    </row>
    <row r="25" spans="1:18" ht="12.75">
      <c r="A25" s="42" t="s">
        <v>245</v>
      </c>
      <c r="B25" s="89">
        <f>'Relaxamento dos Padrões de Créd'!$B$11*B24</f>
        <v>41.25</v>
      </c>
      <c r="C25" s="89">
        <f>'Relaxamento dos Padrões de Créd'!$B$11*C24</f>
        <v>45.675000000000004</v>
      </c>
      <c r="D25" s="89">
        <f>'Relaxamento dos Padrões de Créd'!$B$11*D24</f>
        <v>50.22346875</v>
      </c>
      <c r="E25" s="125">
        <f>'Relaxamento dos Padrões de Créd'!$B$11*E24</f>
        <v>54.89811468750001</v>
      </c>
      <c r="F25" s="108"/>
      <c r="H25" s="229"/>
      <c r="I25" s="42" t="s">
        <v>56</v>
      </c>
      <c r="J25" s="152">
        <f>-B74</f>
        <v>-3252.1417910447763</v>
      </c>
      <c r="K25" s="152">
        <f>-C74</f>
        <v>-3539.851815579636</v>
      </c>
      <c r="L25" s="152">
        <f>-D74</f>
        <v>-3881.461570815357</v>
      </c>
      <c r="M25" s="158">
        <f>-E74</f>
        <v>-4240.385413575927</v>
      </c>
      <c r="O25" s="263">
        <f t="shared" si="1"/>
        <v>-0.5912985074626866</v>
      </c>
      <c r="P25" s="264">
        <f t="shared" si="1"/>
        <v>-0.5812564557602029</v>
      </c>
      <c r="Q25" s="264">
        <f t="shared" si="1"/>
        <v>-0.5796286577898938</v>
      </c>
      <c r="R25" s="265">
        <f t="shared" si="1"/>
        <v>-0.5793075187163174</v>
      </c>
    </row>
    <row r="26" spans="1:18" ht="12.75">
      <c r="A26" s="42" t="s">
        <v>8</v>
      </c>
      <c r="B26" s="136">
        <f>B23+B24-B27-B25</f>
        <v>1783.75</v>
      </c>
      <c r="C26" s="136">
        <f>C23+C24-C27-C25</f>
        <v>4260.286538461539</v>
      </c>
      <c r="D26" s="136">
        <f>D23+D24-D27-D25</f>
        <v>4708.218253658027</v>
      </c>
      <c r="E26" s="137">
        <f>E23+E24-E27-E25</f>
        <v>5090.701054731397</v>
      </c>
      <c r="F26" s="109"/>
      <c r="H26" s="229" t="s">
        <v>57</v>
      </c>
      <c r="I26" s="42"/>
      <c r="J26" s="152">
        <f>SUM(J23:J25)</f>
        <v>1312.8582089552237</v>
      </c>
      <c r="K26" s="152">
        <f>SUM(K23:K25)</f>
        <v>1514.8481844203639</v>
      </c>
      <c r="L26" s="152">
        <f>SUM(L23:L25)</f>
        <v>1676.602304184643</v>
      </c>
      <c r="M26" s="158">
        <f>SUM(M23:M25)</f>
        <v>1835.0059451740744</v>
      </c>
      <c r="O26" s="263">
        <f t="shared" si="1"/>
        <v>0.2387014925373134</v>
      </c>
      <c r="P26" s="264">
        <f t="shared" si="1"/>
        <v>0.24874354423979703</v>
      </c>
      <c r="Q26" s="264">
        <f t="shared" si="1"/>
        <v>0.2503713422101061</v>
      </c>
      <c r="R26" s="265">
        <f t="shared" si="1"/>
        <v>0.25069248128368266</v>
      </c>
    </row>
    <row r="27" spans="1:18" ht="13.5" thickBot="1">
      <c r="A27" s="50" t="s">
        <v>9</v>
      </c>
      <c r="B27" s="51">
        <f>B22</f>
        <v>2750</v>
      </c>
      <c r="C27" s="51">
        <f>C22</f>
        <v>3011.5384615384614</v>
      </c>
      <c r="D27" s="51">
        <f>D22</f>
        <v>3275.443614130435</v>
      </c>
      <c r="E27" s="123">
        <f>E22</f>
        <v>3619.655913461539</v>
      </c>
      <c r="H27" s="229"/>
      <c r="I27" s="42" t="s">
        <v>58</v>
      </c>
      <c r="J27" s="152">
        <f>-B81</f>
        <v>-1000</v>
      </c>
      <c r="K27" s="152">
        <f>-C81</f>
        <v>-900</v>
      </c>
      <c r="L27" s="152">
        <f>-D81</f>
        <v>-950</v>
      </c>
      <c r="M27" s="158">
        <f>-E81</f>
        <v>-1200</v>
      </c>
      <c r="O27" s="263">
        <f t="shared" si="1"/>
        <v>-0.18181818181818182</v>
      </c>
      <c r="P27" s="264">
        <f t="shared" si="1"/>
        <v>-0.1477832512315271</v>
      </c>
      <c r="Q27" s="264">
        <f t="shared" si="1"/>
        <v>-0.1418659478791974</v>
      </c>
      <c r="R27" s="265">
        <f t="shared" si="1"/>
        <v>-0.16394005606988996</v>
      </c>
    </row>
    <row r="28" spans="8:18" ht="13.5" thickBot="1">
      <c r="H28" s="237"/>
      <c r="I28" s="63" t="s">
        <v>245</v>
      </c>
      <c r="J28" s="284">
        <f>-B25</f>
        <v>-41.25</v>
      </c>
      <c r="K28" s="284">
        <f>-C25</f>
        <v>-45.675000000000004</v>
      </c>
      <c r="L28" s="284">
        <f>-D25</f>
        <v>-50.22346875</v>
      </c>
      <c r="M28" s="285">
        <f>-E25</f>
        <v>-54.89811468750001</v>
      </c>
      <c r="O28" s="266">
        <f>J29/J$23</f>
        <v>0.04938331071913159</v>
      </c>
      <c r="P28" s="267">
        <f>K29/K$23</f>
        <v>0.09346029300826994</v>
      </c>
      <c r="Q28" s="267">
        <f>L29/L$23</f>
        <v>0.10100539433090872</v>
      </c>
      <c r="R28" s="268">
        <f>M29/M$23</f>
        <v>0.0792524252137927</v>
      </c>
    </row>
    <row r="29" spans="6:18" ht="13.5" thickBot="1">
      <c r="F29" s="19"/>
      <c r="H29" s="231" t="s">
        <v>59</v>
      </c>
      <c r="I29" s="64"/>
      <c r="J29" s="71">
        <f>J26+J27+J28</f>
        <v>271.60820895522374</v>
      </c>
      <c r="K29" s="71">
        <f>K26+K27+K28</f>
        <v>569.1731844203639</v>
      </c>
      <c r="L29" s="71">
        <f>L26+L27+L28</f>
        <v>676.3788354346428</v>
      </c>
      <c r="M29" s="168">
        <f>M26+M27+M28</f>
        <v>580.1078304865745</v>
      </c>
      <c r="O29" s="306" t="s">
        <v>244</v>
      </c>
      <c r="P29" s="306"/>
      <c r="Q29" s="306"/>
      <c r="R29" s="306"/>
    </row>
    <row r="30" spans="1:18" ht="13.5" thickBot="1">
      <c r="A30" s="61" t="s">
        <v>10</v>
      </c>
      <c r="B30" s="45"/>
      <c r="C30" s="45"/>
      <c r="D30" s="45" t="s">
        <v>143</v>
      </c>
      <c r="E30" s="118"/>
      <c r="F30" s="101"/>
      <c r="O30" s="269" t="str">
        <f>J31</f>
        <v>Trim 1</v>
      </c>
      <c r="P30" s="270" t="str">
        <f>K31</f>
        <v>Trim 2</v>
      </c>
      <c r="Q30" s="270" t="str">
        <f>L31</f>
        <v>Trim 3</v>
      </c>
      <c r="R30" s="271" t="str">
        <f>M31</f>
        <v>Trim 4</v>
      </c>
    </row>
    <row r="31" spans="1:18" ht="13.5" thickBot="1">
      <c r="A31" s="42" t="s">
        <v>5</v>
      </c>
      <c r="B31" s="89">
        <f>($B$33/($D$31+$D$32))*D31</f>
        <v>3.5</v>
      </c>
      <c r="C31" s="67"/>
      <c r="D31" s="86">
        <v>1</v>
      </c>
      <c r="E31" s="77"/>
      <c r="F31" s="103"/>
      <c r="H31" s="232" t="s">
        <v>60</v>
      </c>
      <c r="I31" s="39"/>
      <c r="J31" s="40" t="str">
        <f>$B$6</f>
        <v>Trim 1</v>
      </c>
      <c r="K31" s="40" t="str">
        <f>$C$6</f>
        <v>Trim 2</v>
      </c>
      <c r="L31" s="40" t="str">
        <f>$D$6</f>
        <v>Trim 3</v>
      </c>
      <c r="M31" s="84" t="str">
        <f>$E$6</f>
        <v>Trim 4</v>
      </c>
      <c r="O31" s="260"/>
      <c r="P31" s="261"/>
      <c r="Q31" s="261"/>
      <c r="R31" s="262"/>
    </row>
    <row r="32" spans="1:18" ht="12.75">
      <c r="A32" s="42" t="s">
        <v>6</v>
      </c>
      <c r="B32" s="89">
        <f>($B$33/($D$31+$D$32))*D32</f>
        <v>3.5</v>
      </c>
      <c r="C32" s="67"/>
      <c r="D32" s="86">
        <v>1</v>
      </c>
      <c r="E32" s="78"/>
      <c r="F32" s="112"/>
      <c r="H32" s="234" t="s">
        <v>61</v>
      </c>
      <c r="I32" s="41"/>
      <c r="J32" s="66"/>
      <c r="K32" s="66"/>
      <c r="L32" s="66"/>
      <c r="M32" s="83"/>
      <c r="O32" s="272">
        <f aca="true" t="shared" si="2" ref="O32:O37">J33/J$39</f>
        <v>0</v>
      </c>
      <c r="P32" s="241">
        <f aca="true" t="shared" si="3" ref="P32:R37">K33/K$39</f>
        <v>0</v>
      </c>
      <c r="Q32" s="241">
        <f t="shared" si="3"/>
        <v>0</v>
      </c>
      <c r="R32" s="273">
        <f t="shared" si="3"/>
        <v>0</v>
      </c>
    </row>
    <row r="33" spans="1:18" ht="13.5" thickBot="1">
      <c r="A33" s="64" t="s">
        <v>15</v>
      </c>
      <c r="B33" s="99">
        <v>7</v>
      </c>
      <c r="C33" s="72"/>
      <c r="D33" s="79"/>
      <c r="E33" s="80"/>
      <c r="H33" s="235"/>
      <c r="I33" s="53" t="s">
        <v>62</v>
      </c>
      <c r="J33" s="152">
        <f>J20</f>
        <v>0</v>
      </c>
      <c r="K33" s="152">
        <f>K20</f>
        <v>0</v>
      </c>
      <c r="L33" s="152">
        <f>L20</f>
        <v>0</v>
      </c>
      <c r="M33" s="158">
        <f>M20</f>
        <v>0</v>
      </c>
      <c r="O33" s="272">
        <f t="shared" si="2"/>
        <v>0</v>
      </c>
      <c r="P33" s="241">
        <f t="shared" si="3"/>
        <v>0.06955776070790505</v>
      </c>
      <c r="Q33" s="241">
        <f t="shared" si="3"/>
        <v>0.1475217427581875</v>
      </c>
      <c r="R33" s="273">
        <f t="shared" si="3"/>
        <v>0.21436259436034155</v>
      </c>
    </row>
    <row r="34" spans="6:18" ht="13.5" thickBot="1">
      <c r="F34" s="133" t="s">
        <v>150</v>
      </c>
      <c r="H34" s="234"/>
      <c r="I34" s="53" t="s">
        <v>151</v>
      </c>
      <c r="J34" s="152">
        <f>J18</f>
        <v>0</v>
      </c>
      <c r="K34" s="152">
        <f>J34+K18</f>
        <v>282.472602564103</v>
      </c>
      <c r="L34" s="152">
        <f>K34+L18</f>
        <v>711.4883817572463</v>
      </c>
      <c r="M34" s="158">
        <f>L34+M18</f>
        <v>1189.2777219648715</v>
      </c>
      <c r="O34" s="272">
        <f t="shared" si="2"/>
        <v>0.794899184780733</v>
      </c>
      <c r="P34" s="241">
        <f t="shared" si="3"/>
        <v>0.741579430248664</v>
      </c>
      <c r="Q34" s="241">
        <f t="shared" si="3"/>
        <v>0.6791384970606046</v>
      </c>
      <c r="R34" s="273">
        <f t="shared" si="3"/>
        <v>0.6524286278729152</v>
      </c>
    </row>
    <row r="35" spans="1:18" ht="13.5" thickBot="1">
      <c r="A35" s="44" t="s">
        <v>11</v>
      </c>
      <c r="B35" s="45" t="str">
        <f>$B$6</f>
        <v>Trim 1</v>
      </c>
      <c r="C35" s="45" t="str">
        <f>$C$6</f>
        <v>Trim 2</v>
      </c>
      <c r="D35" s="45" t="str">
        <f>$D$6</f>
        <v>Trim 3</v>
      </c>
      <c r="E35" s="40" t="str">
        <f>$E$6</f>
        <v>Trim 4</v>
      </c>
      <c r="F35" s="132">
        <f>610</f>
        <v>610</v>
      </c>
      <c r="H35" s="234"/>
      <c r="I35" s="53" t="s">
        <v>38</v>
      </c>
      <c r="J35" s="89">
        <f>B27</f>
        <v>2750</v>
      </c>
      <c r="K35" s="89">
        <f>C27</f>
        <v>3011.5384615384614</v>
      </c>
      <c r="L35" s="89">
        <f>D27</f>
        <v>3275.443614130435</v>
      </c>
      <c r="M35" s="125">
        <f>E27</f>
        <v>3619.655913461539</v>
      </c>
      <c r="O35" s="272">
        <f t="shared" si="2"/>
        <v>0.20510081521926707</v>
      </c>
      <c r="P35" s="241">
        <f t="shared" si="3"/>
        <v>0.188862809043431</v>
      </c>
      <c r="Q35" s="241">
        <f t="shared" si="3"/>
        <v>0.17333976018120786</v>
      </c>
      <c r="R35" s="273">
        <f t="shared" si="3"/>
        <v>0.1332087777667432</v>
      </c>
    </row>
    <row r="36" spans="1:18" ht="13.5" thickBot="1">
      <c r="A36" s="52" t="s">
        <v>149</v>
      </c>
      <c r="B36" s="100">
        <f>B7</f>
        <v>550</v>
      </c>
      <c r="C36" s="100">
        <f>C7</f>
        <v>600</v>
      </c>
      <c r="D36" s="100">
        <f>D7</f>
        <v>650</v>
      </c>
      <c r="E36" s="100">
        <f>E7</f>
        <v>700</v>
      </c>
      <c r="F36" s="131">
        <v>0.2</v>
      </c>
      <c r="H36" s="234"/>
      <c r="I36" s="53" t="s">
        <v>63</v>
      </c>
      <c r="J36" s="89">
        <f>B76</f>
        <v>709.5582089552239</v>
      </c>
      <c r="K36" s="89">
        <f>C76</f>
        <v>766.9678933755878</v>
      </c>
      <c r="L36" s="89">
        <f>D76</f>
        <v>836.0071075602308</v>
      </c>
      <c r="M36" s="125">
        <f>E76</f>
        <v>739.0386006518044</v>
      </c>
      <c r="O36" s="272">
        <f t="shared" si="2"/>
        <v>0</v>
      </c>
      <c r="P36" s="241">
        <f t="shared" si="3"/>
        <v>0</v>
      </c>
      <c r="Q36" s="241">
        <f t="shared" si="3"/>
        <v>0</v>
      </c>
      <c r="R36" s="273">
        <f t="shared" si="3"/>
        <v>0</v>
      </c>
    </row>
    <row r="37" spans="1:18" ht="12.75">
      <c r="A37" s="53" t="s">
        <v>12</v>
      </c>
      <c r="B37" s="69">
        <f>$F$36*C36</f>
        <v>120</v>
      </c>
      <c r="C37" s="69">
        <f>$F$36*D36</f>
        <v>130</v>
      </c>
      <c r="D37" s="69">
        <f>$F$36*E36</f>
        <v>140</v>
      </c>
      <c r="E37" s="69">
        <f>$F$36*F35</f>
        <v>122</v>
      </c>
      <c r="F37" s="107"/>
      <c r="H37" s="234"/>
      <c r="I37" s="53" t="s">
        <v>109</v>
      </c>
      <c r="J37" s="89"/>
      <c r="K37" s="89"/>
      <c r="L37" s="89"/>
      <c r="M37" s="125"/>
      <c r="O37" s="272">
        <f t="shared" si="2"/>
        <v>0</v>
      </c>
      <c r="P37" s="241">
        <f t="shared" si="3"/>
        <v>0</v>
      </c>
      <c r="Q37" s="241">
        <f t="shared" si="3"/>
        <v>0</v>
      </c>
      <c r="R37" s="273">
        <f t="shared" si="3"/>
        <v>0</v>
      </c>
    </row>
    <row r="38" spans="1:18" ht="12.75">
      <c r="A38" s="53" t="s">
        <v>13</v>
      </c>
      <c r="B38" s="55">
        <v>100</v>
      </c>
      <c r="C38" s="69">
        <f>B37</f>
        <v>120</v>
      </c>
      <c r="D38" s="69">
        <f>C37</f>
        <v>130</v>
      </c>
      <c r="E38" s="122">
        <f>D37</f>
        <v>140</v>
      </c>
      <c r="F38" s="107"/>
      <c r="H38" s="234"/>
      <c r="I38" s="53" t="s">
        <v>137</v>
      </c>
      <c r="J38" s="170"/>
      <c r="K38" s="170"/>
      <c r="L38" s="170"/>
      <c r="M38" s="239"/>
      <c r="O38" s="272">
        <v>1</v>
      </c>
      <c r="P38" s="241">
        <v>1</v>
      </c>
      <c r="Q38" s="241">
        <v>1</v>
      </c>
      <c r="R38" s="273">
        <v>1</v>
      </c>
    </row>
    <row r="39" spans="1:18" ht="12.75">
      <c r="A39" s="53" t="s">
        <v>14</v>
      </c>
      <c r="B39" s="69">
        <f>B36+B37-B38</f>
        <v>570</v>
      </c>
      <c r="C39" s="69">
        <f>C36+C37-C38</f>
        <v>610</v>
      </c>
      <c r="D39" s="69">
        <f>D36+D37-D38</f>
        <v>660</v>
      </c>
      <c r="E39" s="122">
        <f>E36+E37-E38</f>
        <v>682</v>
      </c>
      <c r="F39" s="113"/>
      <c r="H39" s="236"/>
      <c r="I39" s="48" t="s">
        <v>20</v>
      </c>
      <c r="J39" s="70">
        <f>SUM(J33:J38)</f>
        <v>3459.558208955224</v>
      </c>
      <c r="K39" s="70">
        <f>SUM(K33:K38)</f>
        <v>4060.978957478152</v>
      </c>
      <c r="L39" s="70">
        <f>SUM(L33:L38)</f>
        <v>4822.939103447912</v>
      </c>
      <c r="M39" s="166">
        <f>SUM(M33:M38)</f>
        <v>5547.972236078215</v>
      </c>
      <c r="O39" s="272"/>
      <c r="P39" s="241"/>
      <c r="Q39" s="241"/>
      <c r="R39" s="273"/>
    </row>
    <row r="40" spans="1:18" ht="12.75">
      <c r="A40" s="53" t="s">
        <v>16</v>
      </c>
      <c r="B40" s="89">
        <f>B33</f>
        <v>7</v>
      </c>
      <c r="C40" s="89">
        <f>B40+B40*B4</f>
        <v>7.105</v>
      </c>
      <c r="D40" s="89">
        <f>C40+C40*C4</f>
        <v>7.211575000000001</v>
      </c>
      <c r="E40" s="125">
        <f>D40+D40*D4</f>
        <v>7.319748625000001</v>
      </c>
      <c r="F40" s="114"/>
      <c r="H40" s="234" t="s">
        <v>64</v>
      </c>
      <c r="I40" s="53"/>
      <c r="J40" s="73"/>
      <c r="K40" s="73"/>
      <c r="L40" s="73"/>
      <c r="M40" s="77"/>
      <c r="O40" s="272">
        <f>J41/J$48</f>
        <v>0.1922210755924318</v>
      </c>
      <c r="P40" s="241">
        <f>K41/K$48</f>
        <v>0.17591912039787755</v>
      </c>
      <c r="Q40" s="241">
        <f>L41/L$48</f>
        <v>0.1609035823805125</v>
      </c>
      <c r="R40" s="273">
        <f>M41/M$48</f>
        <v>0.1483187747364427</v>
      </c>
    </row>
    <row r="41" spans="1:18" ht="12.75">
      <c r="A41" s="48" t="s">
        <v>17</v>
      </c>
      <c r="B41" s="49">
        <f>B39*B40</f>
        <v>3990</v>
      </c>
      <c r="C41" s="49">
        <f>C39*C40</f>
        <v>4334.05</v>
      </c>
      <c r="D41" s="49">
        <f>D39*D40</f>
        <v>4759.6395</v>
      </c>
      <c r="E41" s="121">
        <f>E39*E40</f>
        <v>4992.0685622500005</v>
      </c>
      <c r="F41" s="113"/>
      <c r="H41" s="235"/>
      <c r="I41" s="53" t="s">
        <v>41</v>
      </c>
      <c r="J41" s="89">
        <f>B63</f>
        <v>665</v>
      </c>
      <c r="K41" s="89">
        <f>C63</f>
        <v>714.4038461538462</v>
      </c>
      <c r="L41" s="89">
        <f>D63</f>
        <v>776.0281793478262</v>
      </c>
      <c r="M41" s="125">
        <f>E63</f>
        <v>822.8684443269232</v>
      </c>
      <c r="O41" s="272">
        <f aca="true" t="shared" si="4" ref="O41:O46">J42/J$48</f>
        <v>0.08671627470335269</v>
      </c>
      <c r="P41" s="241">
        <f aca="true" t="shared" si="5" ref="P41:P46">K42/K$48</f>
        <v>0.06648643167746643</v>
      </c>
      <c r="Q41" s="241">
        <f aca="true" t="shared" si="6" ref="Q41:Q46">L42/L$48</f>
        <v>0.059092597664410475</v>
      </c>
      <c r="R41" s="273">
        <f aca="true" t="shared" si="7" ref="R41:R46">M42/M$48</f>
        <v>0.06488857273995283</v>
      </c>
    </row>
    <row r="42" spans="1:18" ht="12.75">
      <c r="A42" s="53" t="s">
        <v>50</v>
      </c>
      <c r="B42" s="89">
        <f>(B41/($D$31+$D$32))*$D$31</f>
        <v>1995</v>
      </c>
      <c r="C42" s="89">
        <f>(C41/($D$31+$D$32))*$D$31</f>
        <v>2167.025</v>
      </c>
      <c r="D42" s="89">
        <f>(D41/($D$31+$D$32))*$D$31</f>
        <v>2379.81975</v>
      </c>
      <c r="E42" s="125">
        <f>(E41/($D$31+$D$32))*$D$31</f>
        <v>2496.0342811250002</v>
      </c>
      <c r="F42" s="113"/>
      <c r="H42" s="234"/>
      <c r="I42" s="53" t="s">
        <v>40</v>
      </c>
      <c r="J42" s="89">
        <f>B88</f>
        <v>300</v>
      </c>
      <c r="K42" s="89">
        <f>C88</f>
        <v>270</v>
      </c>
      <c r="L42" s="89">
        <f>D88</f>
        <v>285</v>
      </c>
      <c r="M42" s="125">
        <f>E88</f>
        <v>360</v>
      </c>
      <c r="O42" s="272">
        <f t="shared" si="4"/>
        <v>0.024733408573722932</v>
      </c>
      <c r="P42" s="241">
        <f t="shared" si="5"/>
        <v>0.02423316782623691</v>
      </c>
      <c r="Q42" s="241">
        <f t="shared" si="6"/>
        <v>0.022261811657494298</v>
      </c>
      <c r="R42" s="273">
        <f t="shared" si="7"/>
        <v>0.023513527748539872</v>
      </c>
    </row>
    <row r="43" spans="1:18" ht="13.5" thickBot="1">
      <c r="A43" s="54" t="s">
        <v>51</v>
      </c>
      <c r="B43" s="89">
        <f>(B41/($D$31+$D$32))*$D$32</f>
        <v>1995</v>
      </c>
      <c r="C43" s="89">
        <f>(C41/($D$31+$D$32))*$D$32</f>
        <v>2167.025</v>
      </c>
      <c r="D43" s="89">
        <f>(D41/($D$31+$D$32))*$D$32</f>
        <v>2379.81975</v>
      </c>
      <c r="E43" s="125">
        <f>(E41/($D$31+$D$32))*$D$32</f>
        <v>2496.0342811250002</v>
      </c>
      <c r="F43" s="113"/>
      <c r="H43" s="234"/>
      <c r="I43" s="53" t="s">
        <v>105</v>
      </c>
      <c r="J43" s="89">
        <f>B98</f>
        <v>85.56666666666668</v>
      </c>
      <c r="K43" s="89">
        <f>C98</f>
        <v>98.41038461538464</v>
      </c>
      <c r="L43" s="89">
        <f>D98</f>
        <v>107.3673619565218</v>
      </c>
      <c r="M43" s="125">
        <f>E98</f>
        <v>130.45239912115392</v>
      </c>
      <c r="O43" s="272">
        <f t="shared" si="4"/>
        <v>0.18423836074890645</v>
      </c>
      <c r="P43" s="241">
        <f t="shared" si="5"/>
        <v>0.1569531238667499</v>
      </c>
      <c r="Q43" s="241">
        <f t="shared" si="6"/>
        <v>0.1321566206128684</v>
      </c>
      <c r="R43" s="273">
        <f t="shared" si="7"/>
        <v>0.11488581885620441</v>
      </c>
    </row>
    <row r="44" spans="1:18" ht="13.5" thickBot="1">
      <c r="A44" s="44" t="s">
        <v>101</v>
      </c>
      <c r="B44" s="134">
        <f>0.17*B41</f>
        <v>678.3000000000001</v>
      </c>
      <c r="C44" s="134">
        <f>0.17*C41</f>
        <v>736.7885000000001</v>
      </c>
      <c r="D44" s="134">
        <f>0.17*D41</f>
        <v>809.138715</v>
      </c>
      <c r="E44" s="135">
        <f>0.17*E41</f>
        <v>848.6516555825001</v>
      </c>
      <c r="F44" s="113"/>
      <c r="H44" s="236"/>
      <c r="I44" s="42" t="s">
        <v>65</v>
      </c>
      <c r="J44" s="89">
        <f>J17</f>
        <v>637.3833333333332</v>
      </c>
      <c r="K44" s="89">
        <f>J44+K17</f>
        <v>637.3833333333332</v>
      </c>
      <c r="L44" s="89">
        <f>K44+L17</f>
        <v>637.3833333333332</v>
      </c>
      <c r="M44" s="125">
        <f>L44+M17</f>
        <v>637.3833333333332</v>
      </c>
      <c r="O44" s="272"/>
      <c r="P44" s="241"/>
      <c r="Q44" s="241"/>
      <c r="R44" s="273"/>
    </row>
    <row r="45" spans="1:18" ht="13.5" thickBot="1">
      <c r="A45" s="39" t="s">
        <v>112</v>
      </c>
      <c r="B45" s="96">
        <f>B41-B44</f>
        <v>3311.7</v>
      </c>
      <c r="C45" s="96">
        <f>C41-C44</f>
        <v>3597.2615</v>
      </c>
      <c r="D45" s="96">
        <f>D41-D44</f>
        <v>3950.500785</v>
      </c>
      <c r="E45" s="130">
        <f>E41-E44</f>
        <v>4143.4169066675</v>
      </c>
      <c r="H45" s="234" t="s">
        <v>66</v>
      </c>
      <c r="I45" s="42"/>
      <c r="J45" s="73"/>
      <c r="K45" s="73"/>
      <c r="L45" s="73"/>
      <c r="M45" s="240"/>
      <c r="O45" s="272">
        <f t="shared" si="4"/>
        <v>0.43358137351676346</v>
      </c>
      <c r="P45" s="241">
        <f t="shared" si="5"/>
        <v>0.3693690648748135</v>
      </c>
      <c r="Q45" s="241">
        <f t="shared" si="6"/>
        <v>0.3110136719179499</v>
      </c>
      <c r="R45" s="273">
        <f t="shared" si="7"/>
        <v>0.27036905308313675</v>
      </c>
    </row>
    <row r="46" spans="8:18" ht="12.75">
      <c r="H46" s="234"/>
      <c r="I46" s="42" t="s">
        <v>138</v>
      </c>
      <c r="J46" s="170">
        <v>1500</v>
      </c>
      <c r="K46" s="89">
        <f>J46</f>
        <v>1500</v>
      </c>
      <c r="L46" s="89">
        <f>K46</f>
        <v>1500</v>
      </c>
      <c r="M46" s="125">
        <f>L46</f>
        <v>1500</v>
      </c>
      <c r="O46" s="272">
        <f t="shared" si="4"/>
        <v>0.07850950686482266</v>
      </c>
      <c r="P46" s="241">
        <f t="shared" si="5"/>
        <v>0.2070390913568557</v>
      </c>
      <c r="Q46" s="241">
        <f t="shared" si="6"/>
        <v>0.3145717157667645</v>
      </c>
      <c r="R46" s="273">
        <f t="shared" si="7"/>
        <v>0.3780242528357234</v>
      </c>
    </row>
    <row r="47" spans="8:18" ht="13.5" thickBot="1">
      <c r="H47" s="237"/>
      <c r="I47" s="42" t="s">
        <v>67</v>
      </c>
      <c r="J47" s="152">
        <f>J29</f>
        <v>271.60820895522374</v>
      </c>
      <c r="K47" s="152">
        <f>K29+J47</f>
        <v>840.7813933755876</v>
      </c>
      <c r="L47" s="152">
        <f>L29+K47</f>
        <v>1517.1602288102304</v>
      </c>
      <c r="M47" s="158">
        <f>M29+L47</f>
        <v>2097.268059296805</v>
      </c>
      <c r="O47" s="274">
        <v>1</v>
      </c>
      <c r="P47" s="275">
        <v>1</v>
      </c>
      <c r="Q47" s="275">
        <v>1</v>
      </c>
      <c r="R47" s="276">
        <v>1</v>
      </c>
    </row>
    <row r="48" spans="8:13" ht="13.5" thickBot="1">
      <c r="H48" s="238"/>
      <c r="I48" s="50" t="s">
        <v>20</v>
      </c>
      <c r="J48" s="51">
        <f>SUM(J41:J47)</f>
        <v>3459.5582089552236</v>
      </c>
      <c r="K48" s="51">
        <f>SUM(K41:K47)</f>
        <v>4060.9789574781516</v>
      </c>
      <c r="L48" s="51">
        <f>SUM(L41:L47)</f>
        <v>4822.939103447911</v>
      </c>
      <c r="M48" s="123">
        <f>SUM(M41:M47)</f>
        <v>5547.972236078215</v>
      </c>
    </row>
    <row r="49" spans="10:13" ht="12.75">
      <c r="J49" s="38">
        <f>J39-J48</f>
        <v>0</v>
      </c>
      <c r="K49" s="38">
        <f>K39-K48</f>
        <v>0</v>
      </c>
      <c r="L49" s="38">
        <f>L39-L48</f>
        <v>0</v>
      </c>
      <c r="M49" s="38">
        <f>M39-M48</f>
        <v>0</v>
      </c>
    </row>
    <row r="50" spans="11:13" ht="12.75">
      <c r="K50" s="18">
        <f>K49-J49</f>
        <v>0</v>
      </c>
      <c r="L50" s="18">
        <f>L49-K49</f>
        <v>0</v>
      </c>
      <c r="M50" s="18">
        <f>M49-L49</f>
        <v>0</v>
      </c>
    </row>
    <row r="51" spans="10:12" ht="12.75">
      <c r="J51" s="38"/>
      <c r="K51" s="38"/>
      <c r="L51" s="38"/>
    </row>
    <row r="52" ht="13.5" thickBot="1"/>
    <row r="53" spans="6:12" ht="13.5" thickBot="1">
      <c r="F53" s="19"/>
      <c r="I53" s="61" t="s">
        <v>62</v>
      </c>
      <c r="J53" s="184">
        <v>600</v>
      </c>
      <c r="L53" s="188" t="s">
        <v>156</v>
      </c>
    </row>
    <row r="54" spans="1:12" ht="13.5" thickBot="1">
      <c r="A54" s="44" t="s">
        <v>30</v>
      </c>
      <c r="B54" s="45" t="str">
        <f>$B$6</f>
        <v>Trim 1</v>
      </c>
      <c r="C54" s="45" t="str">
        <f>$C$6</f>
        <v>Trim 2</v>
      </c>
      <c r="D54" s="45" t="str">
        <f>$D$6</f>
        <v>Trim 3</v>
      </c>
      <c r="E54" s="118" t="str">
        <f>$E$6</f>
        <v>Trim 4</v>
      </c>
      <c r="F54" s="109"/>
      <c r="I54" s="42" t="s">
        <v>152</v>
      </c>
      <c r="J54" s="185">
        <v>450</v>
      </c>
      <c r="L54" s="187">
        <f>M48/J62-1</f>
        <v>2.263513080046009</v>
      </c>
    </row>
    <row r="55" spans="1:10" ht="12.75">
      <c r="A55" s="46" t="s">
        <v>51</v>
      </c>
      <c r="B55" s="47">
        <f>B43</f>
        <v>1995</v>
      </c>
      <c r="C55" s="47">
        <f>C43</f>
        <v>2167.025</v>
      </c>
      <c r="D55" s="47">
        <f>D43</f>
        <v>2379.81975</v>
      </c>
      <c r="E55" s="119">
        <f>E43</f>
        <v>2496.0342811250002</v>
      </c>
      <c r="F55" s="19"/>
      <c r="I55" s="42" t="s">
        <v>153</v>
      </c>
      <c r="J55" s="185">
        <v>650</v>
      </c>
    </row>
    <row r="56" spans="1:10" ht="12.75">
      <c r="A56" s="48" t="s">
        <v>116</v>
      </c>
      <c r="B56" s="56">
        <f>B19</f>
        <v>90</v>
      </c>
      <c r="C56" s="56">
        <f>C19</f>
        <v>91</v>
      </c>
      <c r="D56" s="56">
        <f>D19</f>
        <v>92</v>
      </c>
      <c r="E56" s="139">
        <f>E19</f>
        <v>91</v>
      </c>
      <c r="F56" s="109"/>
      <c r="I56" s="42" t="s">
        <v>137</v>
      </c>
      <c r="J56" s="185"/>
    </row>
    <row r="57" spans="1:10" ht="12.75">
      <c r="A57" s="48" t="s">
        <v>121</v>
      </c>
      <c r="B57" s="49">
        <f>B55/B56</f>
        <v>22.166666666666668</v>
      </c>
      <c r="C57" s="49">
        <f>C55/C56</f>
        <v>23.81346153846154</v>
      </c>
      <c r="D57" s="49">
        <f>D55/D56</f>
        <v>25.867605978260872</v>
      </c>
      <c r="E57" s="121">
        <f>E55/E56</f>
        <v>27.428948144230773</v>
      </c>
      <c r="F57" s="19"/>
      <c r="I57" s="42"/>
      <c r="J57" s="77">
        <f>SUM(J53:J56)</f>
        <v>1700</v>
      </c>
    </row>
    <row r="58" spans="1:10" ht="12.75">
      <c r="A58" s="48" t="s">
        <v>122</v>
      </c>
      <c r="B58" s="69">
        <f>((1+$D$32)*30)/2</f>
        <v>30</v>
      </c>
      <c r="C58" s="69">
        <f>((1+$D$32)*30)/2</f>
        <v>30</v>
      </c>
      <c r="D58" s="69">
        <f>((1+$D$32)*30)/2</f>
        <v>30</v>
      </c>
      <c r="E58" s="122">
        <f>((1+$D$32)*30)/2</f>
        <v>30</v>
      </c>
      <c r="F58" s="109"/>
      <c r="I58" s="42"/>
      <c r="J58" s="77"/>
    </row>
    <row r="59" spans="1:10" ht="13.5" thickBot="1">
      <c r="A59" s="50" t="s">
        <v>123</v>
      </c>
      <c r="B59" s="51">
        <f>IF(B56&gt;B58,B57*B58,B55)</f>
        <v>665</v>
      </c>
      <c r="C59" s="51">
        <f>IF(C56&gt;C58,C57*C58,IF(C58&lt;60,C55+B55*(B58-30)/B56,C55+B55))</f>
        <v>714.4038461538462</v>
      </c>
      <c r="D59" s="51">
        <f>IF(D56&gt;D58,D57*D58,IF(D58&lt;60,D55+C55*(C58-30)/C56,IF(D58&lt;90,D55+C55+(D58-60)/D56*B55,D55+C55+B55)))</f>
        <v>776.0281793478262</v>
      </c>
      <c r="E59" s="123">
        <f>IF(E56&gt;E58,E57*E58,IF(E58&lt;60,E55+D55*(D58-30)/D56,IF(E58&lt;90,E55+D55+(E58-60)/C56*C55,IF(E58&lt;120,E55+D55+C55+(E58-90)/B56*B55,E55+D55+C55+B55))))</f>
        <v>822.8684443269232</v>
      </c>
      <c r="F59" s="113"/>
      <c r="I59" s="42" t="s">
        <v>154</v>
      </c>
      <c r="J59" s="185">
        <v>200</v>
      </c>
    </row>
    <row r="60" spans="1:10" ht="12.75">
      <c r="A60" s="41" t="s">
        <v>31</v>
      </c>
      <c r="B60" s="57">
        <v>200</v>
      </c>
      <c r="C60" s="98">
        <f>B63</f>
        <v>665</v>
      </c>
      <c r="D60" s="98">
        <f>C63</f>
        <v>714.4038461538462</v>
      </c>
      <c r="E60" s="124">
        <f>D63</f>
        <v>776.0281793478262</v>
      </c>
      <c r="F60" s="113"/>
      <c r="I60" s="42" t="s">
        <v>155</v>
      </c>
      <c r="J60" s="185">
        <v>1500</v>
      </c>
    </row>
    <row r="61" spans="1:10" ht="12.75">
      <c r="A61" s="42" t="s">
        <v>26</v>
      </c>
      <c r="B61" s="89">
        <f>B55</f>
        <v>1995</v>
      </c>
      <c r="C61" s="89">
        <f>C55</f>
        <v>2167.025</v>
      </c>
      <c r="D61" s="89">
        <f>D55</f>
        <v>2379.81975</v>
      </c>
      <c r="E61" s="125">
        <f>E55</f>
        <v>2496.0342811250002</v>
      </c>
      <c r="F61" s="115"/>
      <c r="I61" s="63" t="s">
        <v>66</v>
      </c>
      <c r="J61" s="186"/>
    </row>
    <row r="62" spans="1:10" ht="13.5" thickBot="1">
      <c r="A62" s="42" t="s">
        <v>32</v>
      </c>
      <c r="B62" s="58">
        <f>B60+B61-B63</f>
        <v>1530</v>
      </c>
      <c r="C62" s="138">
        <f>C60+C61-C63</f>
        <v>2117.621153846154</v>
      </c>
      <c r="D62" s="138">
        <f>D60+D61-D63</f>
        <v>2318.19541680602</v>
      </c>
      <c r="E62" s="140">
        <f>E60+E61-E63</f>
        <v>2449.1940161459033</v>
      </c>
      <c r="F62" s="114"/>
      <c r="I62" s="64"/>
      <c r="J62" s="183">
        <f>SUM(J59:J61)</f>
        <v>1700</v>
      </c>
    </row>
    <row r="63" spans="1:5" ht="13.5" thickBot="1">
      <c r="A63" s="50" t="s">
        <v>33</v>
      </c>
      <c r="B63" s="51">
        <f>B59</f>
        <v>665</v>
      </c>
      <c r="C63" s="51">
        <f>C59</f>
        <v>714.4038461538462</v>
      </c>
      <c r="D63" s="51">
        <f>D59</f>
        <v>776.0281793478262</v>
      </c>
      <c r="E63" s="123">
        <f>E59</f>
        <v>822.8684443269232</v>
      </c>
    </row>
    <row r="64" spans="2:6" ht="13.5" thickBot="1">
      <c r="B64" s="38"/>
      <c r="F64" s="19"/>
    </row>
    <row r="65" spans="1:6" ht="13.5" thickBot="1">
      <c r="A65" s="39" t="s">
        <v>18</v>
      </c>
      <c r="B65" s="40" t="str">
        <f>$B$6</f>
        <v>Trim 1</v>
      </c>
      <c r="C65" s="40" t="str">
        <f>$C$6</f>
        <v>Trim 2</v>
      </c>
      <c r="D65" s="40" t="str">
        <f>$D$6</f>
        <v>Trim 3</v>
      </c>
      <c r="E65" s="84" t="str">
        <f>$E$6</f>
        <v>Trim 4</v>
      </c>
      <c r="F65" s="19"/>
    </row>
    <row r="66" spans="1:6" ht="12.75">
      <c r="A66" s="59" t="s">
        <v>133</v>
      </c>
      <c r="B66" s="141">
        <f aca="true" t="shared" si="8" ref="B66:E67">B38</f>
        <v>100</v>
      </c>
      <c r="C66" s="141">
        <f t="shared" si="8"/>
        <v>120</v>
      </c>
      <c r="D66" s="141">
        <f t="shared" si="8"/>
        <v>130</v>
      </c>
      <c r="E66" s="142">
        <f t="shared" si="8"/>
        <v>140</v>
      </c>
      <c r="F66" s="19"/>
    </row>
    <row r="67" spans="1:6" ht="12.75">
      <c r="A67" s="59" t="s">
        <v>134</v>
      </c>
      <c r="B67" s="56">
        <f t="shared" si="8"/>
        <v>570</v>
      </c>
      <c r="C67" s="56">
        <f t="shared" si="8"/>
        <v>610</v>
      </c>
      <c r="D67" s="56">
        <f t="shared" si="8"/>
        <v>660</v>
      </c>
      <c r="E67" s="139">
        <f t="shared" si="8"/>
        <v>682</v>
      </c>
      <c r="F67" s="19"/>
    </row>
    <row r="68" spans="1:6" ht="12.75">
      <c r="A68" s="59" t="s">
        <v>135</v>
      </c>
      <c r="B68" s="56">
        <f>B66+B67</f>
        <v>670</v>
      </c>
      <c r="C68" s="56">
        <f>C66+C67</f>
        <v>730</v>
      </c>
      <c r="D68" s="56">
        <f>D66+D67</f>
        <v>790</v>
      </c>
      <c r="E68" s="139">
        <f>E66+E67</f>
        <v>822</v>
      </c>
      <c r="F68" s="113"/>
    </row>
    <row r="69" spans="1:6" ht="12.75">
      <c r="A69" s="41" t="s">
        <v>19</v>
      </c>
      <c r="B69" s="57">
        <v>650</v>
      </c>
      <c r="C69" s="98">
        <f>B76</f>
        <v>709.5582089552239</v>
      </c>
      <c r="D69" s="98">
        <f>C76</f>
        <v>766.9678933755878</v>
      </c>
      <c r="E69" s="124">
        <f>D76</f>
        <v>836.0071075602308</v>
      </c>
      <c r="F69" s="113"/>
    </row>
    <row r="70" spans="1:6" ht="12.75">
      <c r="A70" s="42" t="s">
        <v>111</v>
      </c>
      <c r="B70" s="89">
        <f>B45</f>
        <v>3311.7</v>
      </c>
      <c r="C70" s="89">
        <f>C45</f>
        <v>3597.2615</v>
      </c>
      <c r="D70" s="89">
        <f>D45</f>
        <v>3950.500785</v>
      </c>
      <c r="E70" s="125">
        <f>E45</f>
        <v>4143.4169066675</v>
      </c>
      <c r="F70" s="113"/>
    </row>
    <row r="71" spans="1:6" ht="12.75">
      <c r="A71" s="42" t="s">
        <v>20</v>
      </c>
      <c r="B71" s="89">
        <f>B69+B70</f>
        <v>3961.7</v>
      </c>
      <c r="C71" s="89">
        <f>C69+C70</f>
        <v>4306.819708955224</v>
      </c>
      <c r="D71" s="89">
        <f>D69+D70</f>
        <v>4717.468678375588</v>
      </c>
      <c r="E71" s="125">
        <f>E69+E70</f>
        <v>4979.424014227731</v>
      </c>
      <c r="F71" s="113"/>
    </row>
    <row r="72" spans="1:6" ht="12.75">
      <c r="A72" s="42" t="s">
        <v>21</v>
      </c>
      <c r="B72" s="89">
        <f>B71/B68</f>
        <v>5.9129850746268655</v>
      </c>
      <c r="C72" s="89">
        <f>C71/C68</f>
        <v>5.89975302596606</v>
      </c>
      <c r="D72" s="89">
        <f>D71/D68</f>
        <v>5.971479339715934</v>
      </c>
      <c r="E72" s="125">
        <f>E71/E68</f>
        <v>6.05769344796561</v>
      </c>
      <c r="F72" s="107"/>
    </row>
    <row r="73" spans="1:6" ht="12.75">
      <c r="A73" s="42" t="s">
        <v>22</v>
      </c>
      <c r="B73" s="69">
        <f>B7</f>
        <v>550</v>
      </c>
      <c r="C73" s="69">
        <f>C7</f>
        <v>600</v>
      </c>
      <c r="D73" s="69">
        <f>D7</f>
        <v>650</v>
      </c>
      <c r="E73" s="122">
        <f>E7</f>
        <v>700</v>
      </c>
      <c r="F73" s="114"/>
    </row>
    <row r="74" spans="1:6" ht="13.5" thickBot="1">
      <c r="A74" s="50" t="s">
        <v>23</v>
      </c>
      <c r="B74" s="51">
        <f>B72*B73</f>
        <v>3252.1417910447763</v>
      </c>
      <c r="C74" s="51">
        <f>C72*C73</f>
        <v>3539.851815579636</v>
      </c>
      <c r="D74" s="51">
        <f>D72*D73</f>
        <v>3881.461570815357</v>
      </c>
      <c r="E74" s="123">
        <f>E72*E73</f>
        <v>4240.385413575927</v>
      </c>
      <c r="F74" s="107"/>
    </row>
    <row r="75" spans="1:6" ht="12.75">
      <c r="A75" s="42" t="s">
        <v>132</v>
      </c>
      <c r="B75" s="69">
        <f>B37</f>
        <v>120</v>
      </c>
      <c r="C75" s="69">
        <f>C37</f>
        <v>130</v>
      </c>
      <c r="D75" s="69">
        <f>D37</f>
        <v>140</v>
      </c>
      <c r="E75" s="122">
        <f>E37</f>
        <v>122</v>
      </c>
      <c r="F75" s="114"/>
    </row>
    <row r="76" spans="1:5" ht="13.5" thickBot="1">
      <c r="A76" s="50" t="s">
        <v>136</v>
      </c>
      <c r="B76" s="51">
        <f>B72*B75</f>
        <v>709.5582089552239</v>
      </c>
      <c r="C76" s="51">
        <f>C72*C75</f>
        <v>766.9678933755878</v>
      </c>
      <c r="D76" s="51">
        <f>D72*D75</f>
        <v>836.0071075602308</v>
      </c>
      <c r="E76" s="123">
        <f>E72*E75</f>
        <v>739.0386006518044</v>
      </c>
    </row>
    <row r="77" ht="13.5" thickBot="1">
      <c r="F77" s="143" t="s">
        <v>143</v>
      </c>
    </row>
    <row r="78" spans="1:6" ht="13.5" thickBot="1">
      <c r="A78" s="39" t="s">
        <v>28</v>
      </c>
      <c r="B78" s="40" t="str">
        <f>$B$6</f>
        <v>Trim 1</v>
      </c>
      <c r="C78" s="40" t="str">
        <f>$C$6</f>
        <v>Trim 2</v>
      </c>
      <c r="D78" s="40" t="str">
        <f>$D$6</f>
        <v>Trim 3</v>
      </c>
      <c r="E78" s="84" t="str">
        <f>$E$6</f>
        <v>Trim 4</v>
      </c>
      <c r="F78" s="144">
        <v>0.7</v>
      </c>
    </row>
    <row r="79" spans="1:6" ht="13.5" thickBot="1">
      <c r="A79" s="60" t="s">
        <v>52</v>
      </c>
      <c r="B79" s="161">
        <f>B81*$F$78</f>
        <v>700</v>
      </c>
      <c r="C79" s="161">
        <f>C81*$F$78</f>
        <v>630</v>
      </c>
      <c r="D79" s="161">
        <f>D81*$F$78</f>
        <v>665</v>
      </c>
      <c r="E79" s="162">
        <f>E81*$F$78</f>
        <v>840</v>
      </c>
      <c r="F79" s="145">
        <v>0.3</v>
      </c>
    </row>
    <row r="80" spans="1:6" ht="12.75">
      <c r="A80" s="53" t="s">
        <v>53</v>
      </c>
      <c r="B80" s="89">
        <f>B81*$F$79</f>
        <v>300</v>
      </c>
      <c r="C80" s="89">
        <f>C81*$F$79</f>
        <v>270</v>
      </c>
      <c r="D80" s="89">
        <f>D81*$F$79</f>
        <v>285</v>
      </c>
      <c r="E80" s="89">
        <f>E81*$F$79</f>
        <v>360</v>
      </c>
      <c r="F80" s="116"/>
    </row>
    <row r="81" spans="1:5" ht="13.5" thickBot="1">
      <c r="A81" s="50" t="s">
        <v>29</v>
      </c>
      <c r="B81" s="146">
        <v>1000</v>
      </c>
      <c r="C81" s="146">
        <v>900</v>
      </c>
      <c r="D81" s="146">
        <v>950</v>
      </c>
      <c r="E81" s="147">
        <v>1200</v>
      </c>
    </row>
    <row r="83" ht="13.5" thickBot="1">
      <c r="F83" s="19"/>
    </row>
    <row r="84" spans="1:6" ht="13.5" thickBot="1">
      <c r="A84" s="39" t="s">
        <v>24</v>
      </c>
      <c r="B84" s="40" t="str">
        <f>$B$6</f>
        <v>Trim 1</v>
      </c>
      <c r="C84" s="40" t="str">
        <f>$C$6</f>
        <v>Trim 2</v>
      </c>
      <c r="D84" s="40" t="str">
        <f>$D$6</f>
        <v>Trim 3</v>
      </c>
      <c r="E84" s="84" t="str">
        <f>$E$6</f>
        <v>Trim 4</v>
      </c>
      <c r="F84" s="113"/>
    </row>
    <row r="85" spans="1:6" ht="12.75">
      <c r="A85" s="41" t="s">
        <v>25</v>
      </c>
      <c r="B85" s="57">
        <v>0</v>
      </c>
      <c r="C85" s="98">
        <f>B88</f>
        <v>300</v>
      </c>
      <c r="D85" s="98">
        <f>C88</f>
        <v>270</v>
      </c>
      <c r="E85" s="124">
        <f>D88</f>
        <v>285</v>
      </c>
      <c r="F85" s="113"/>
    </row>
    <row r="86" spans="1:6" ht="12.75">
      <c r="A86" s="42" t="s">
        <v>35</v>
      </c>
      <c r="B86" s="89">
        <f>B80</f>
        <v>300</v>
      </c>
      <c r="C86" s="89">
        <f>C80</f>
        <v>270</v>
      </c>
      <c r="D86" s="89">
        <f>D80</f>
        <v>285</v>
      </c>
      <c r="E86" s="125">
        <f>E80</f>
        <v>360</v>
      </c>
      <c r="F86" s="115"/>
    </row>
    <row r="87" spans="1:6" ht="12.75">
      <c r="A87" s="42" t="s">
        <v>27</v>
      </c>
      <c r="B87" s="136">
        <f>B85</f>
        <v>0</v>
      </c>
      <c r="C87" s="136">
        <f>C85</f>
        <v>300</v>
      </c>
      <c r="D87" s="136">
        <f>D85</f>
        <v>270</v>
      </c>
      <c r="E87" s="137">
        <f>E85</f>
        <v>285</v>
      </c>
      <c r="F87" s="113"/>
    </row>
    <row r="88" spans="1:5" ht="13.5" thickBot="1">
      <c r="A88" s="64" t="s">
        <v>34</v>
      </c>
      <c r="B88" s="149">
        <f>B85+B86-B87</f>
        <v>300</v>
      </c>
      <c r="C88" s="149">
        <f>C85+C86-C87</f>
        <v>270</v>
      </c>
      <c r="D88" s="149">
        <f>D85+D86-D87</f>
        <v>285</v>
      </c>
      <c r="E88" s="150">
        <f>E85+E86-E87</f>
        <v>360</v>
      </c>
    </row>
    <row r="89" ht="13.5" thickBot="1">
      <c r="F89" s="19"/>
    </row>
    <row r="90" spans="1:6" ht="13.5" thickBot="1">
      <c r="A90" s="44" t="s">
        <v>103</v>
      </c>
      <c r="B90" s="45"/>
      <c r="C90" s="45"/>
      <c r="D90" s="45"/>
      <c r="E90" s="118"/>
      <c r="F90" s="113"/>
    </row>
    <row r="91" spans="1:6" ht="12.75">
      <c r="A91" s="61" t="s">
        <v>104</v>
      </c>
      <c r="B91" s="148">
        <f>B13</f>
        <v>935.0000000000001</v>
      </c>
      <c r="C91" s="148">
        <f>C13</f>
        <v>1035.3000000000002</v>
      </c>
      <c r="D91" s="148">
        <f>D13</f>
        <v>1138.3986250000003</v>
      </c>
      <c r="E91" s="156">
        <f>E13</f>
        <v>1244.3572662500003</v>
      </c>
      <c r="F91" s="113"/>
    </row>
    <row r="92" spans="1:6" ht="12.75">
      <c r="A92" s="42" t="s">
        <v>105</v>
      </c>
      <c r="B92" s="89">
        <f>B91</f>
        <v>935.0000000000001</v>
      </c>
      <c r="C92" s="89">
        <f>C91</f>
        <v>1035.3000000000002</v>
      </c>
      <c r="D92" s="89">
        <f>D91</f>
        <v>1138.3986250000003</v>
      </c>
      <c r="E92" s="125">
        <f>E91</f>
        <v>1244.3572662500003</v>
      </c>
      <c r="F92" s="115"/>
    </row>
    <row r="93" spans="1:6" ht="12.75">
      <c r="A93" s="42" t="s">
        <v>106</v>
      </c>
      <c r="B93" s="152">
        <f>B44</f>
        <v>678.3000000000001</v>
      </c>
      <c r="C93" s="152">
        <f>C44</f>
        <v>736.7885000000001</v>
      </c>
      <c r="D93" s="152">
        <f>D44</f>
        <v>809.138715</v>
      </c>
      <c r="E93" s="158">
        <f>E44</f>
        <v>848.6516555825001</v>
      </c>
      <c r="F93" s="113"/>
    </row>
    <row r="94" spans="1:6" ht="12.75">
      <c r="A94" s="42" t="s">
        <v>107</v>
      </c>
      <c r="B94" s="89">
        <f>B92-B93</f>
        <v>256.70000000000005</v>
      </c>
      <c r="C94" s="89">
        <f>C92-C93</f>
        <v>298.51150000000007</v>
      </c>
      <c r="D94" s="89">
        <f>D92-D93</f>
        <v>329.2599100000002</v>
      </c>
      <c r="E94" s="125">
        <f>E92-E93</f>
        <v>395.7056106675002</v>
      </c>
      <c r="F94" s="117"/>
    </row>
    <row r="95" spans="1:6" ht="12.75">
      <c r="A95" s="42" t="s">
        <v>124</v>
      </c>
      <c r="B95" s="62">
        <f>B19</f>
        <v>90</v>
      </c>
      <c r="C95" s="62">
        <f>C19</f>
        <v>91</v>
      </c>
      <c r="D95" s="62">
        <f>D19</f>
        <v>92</v>
      </c>
      <c r="E95" s="159">
        <f>E19</f>
        <v>91</v>
      </c>
      <c r="F95" s="113"/>
    </row>
    <row r="96" spans="1:6" ht="12.75">
      <c r="A96" s="42" t="s">
        <v>125</v>
      </c>
      <c r="B96" s="89">
        <f>B94/B95</f>
        <v>2.8522222222222227</v>
      </c>
      <c r="C96" s="89">
        <f>C94/C95</f>
        <v>3.2803461538461547</v>
      </c>
      <c r="D96" s="89">
        <f>D94/D95</f>
        <v>3.5789120652173936</v>
      </c>
      <c r="E96" s="125">
        <f>E94/E95</f>
        <v>4.348413304038464</v>
      </c>
      <c r="F96" s="117"/>
    </row>
    <row r="97" spans="1:6" ht="12.75">
      <c r="A97" s="42" t="s">
        <v>126</v>
      </c>
      <c r="B97" s="151">
        <v>30</v>
      </c>
      <c r="C97" s="62">
        <f>B97</f>
        <v>30</v>
      </c>
      <c r="D97" s="62">
        <f>C97</f>
        <v>30</v>
      </c>
      <c r="E97" s="159">
        <f>D97</f>
        <v>30</v>
      </c>
      <c r="F97" s="113"/>
    </row>
    <row r="98" spans="1:6" ht="13.5" thickBot="1">
      <c r="A98" s="63" t="s">
        <v>127</v>
      </c>
      <c r="B98" s="153">
        <f>B96*B97</f>
        <v>85.56666666666668</v>
      </c>
      <c r="C98" s="153">
        <f>C96*C97</f>
        <v>98.41038461538464</v>
      </c>
      <c r="D98" s="153">
        <f>D96*D97</f>
        <v>107.3673619565218</v>
      </c>
      <c r="E98" s="160">
        <f>E96*E97</f>
        <v>130.45239912115392</v>
      </c>
      <c r="F98" s="113"/>
    </row>
    <row r="99" spans="1:6" ht="12.75">
      <c r="A99" s="61" t="s">
        <v>128</v>
      </c>
      <c r="B99" s="154">
        <v>0</v>
      </c>
      <c r="C99" s="148">
        <f>B101</f>
        <v>85.56666666666668</v>
      </c>
      <c r="D99" s="148">
        <f>C101</f>
        <v>98.41038461538464</v>
      </c>
      <c r="E99" s="156">
        <f>D101</f>
        <v>107.3673619565218</v>
      </c>
      <c r="F99" s="113"/>
    </row>
    <row r="100" spans="1:6" ht="12.75">
      <c r="A100" s="42" t="s">
        <v>129</v>
      </c>
      <c r="B100" s="89">
        <f>B94</f>
        <v>256.70000000000005</v>
      </c>
      <c r="C100" s="89">
        <f>C94</f>
        <v>298.51150000000007</v>
      </c>
      <c r="D100" s="89">
        <f>D94</f>
        <v>329.2599100000002</v>
      </c>
      <c r="E100" s="125">
        <f>E94</f>
        <v>395.7056106675002</v>
      </c>
      <c r="F100" s="115"/>
    </row>
    <row r="101" spans="1:6" ht="13.5" thickBot="1">
      <c r="A101" s="64" t="s">
        <v>130</v>
      </c>
      <c r="B101" s="155">
        <f>B98</f>
        <v>85.56666666666668</v>
      </c>
      <c r="C101" s="155">
        <f>C98</f>
        <v>98.41038461538464</v>
      </c>
      <c r="D101" s="155">
        <f>D98</f>
        <v>107.3673619565218</v>
      </c>
      <c r="E101" s="157">
        <f>E98</f>
        <v>130.45239912115392</v>
      </c>
      <c r="F101" s="113"/>
    </row>
    <row r="102" spans="1:5" ht="13.5" thickBot="1">
      <c r="A102" s="65" t="s">
        <v>108</v>
      </c>
      <c r="B102" s="163">
        <f>B100-B101</f>
        <v>171.13333333333338</v>
      </c>
      <c r="C102" s="163">
        <f>C99+C100-C101</f>
        <v>285.6677820512821</v>
      </c>
      <c r="D102" s="163">
        <f>D99+D100-D101</f>
        <v>320.3029326588631</v>
      </c>
      <c r="E102" s="164">
        <f>E99+E100-E101</f>
        <v>372.62057350286807</v>
      </c>
    </row>
  </sheetData>
  <mergeCells count="6">
    <mergeCell ref="Y2:AB2"/>
    <mergeCell ref="AC2:AF2"/>
    <mergeCell ref="O29:R29"/>
    <mergeCell ref="O21:R21"/>
    <mergeCell ref="Q2:T2"/>
    <mergeCell ref="U2:X2"/>
  </mergeCells>
  <printOptions/>
  <pageMargins left="0.75" right="0.75" top="1" bottom="1" header="0.492125985" footer="0.49212598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11" sqref="B11"/>
    </sheetView>
  </sheetViews>
  <sheetFormatPr defaultColWidth="9.140625" defaultRowHeight="12.75"/>
  <cols>
    <col min="1" max="1" width="45.7109375" style="0" customWidth="1"/>
    <col min="2" max="2" width="10.421875" style="0" customWidth="1"/>
  </cols>
  <sheetData>
    <row r="1" spans="1:2" ht="13.5" thickBot="1">
      <c r="A1" s="307" t="s">
        <v>206</v>
      </c>
      <c r="B1" s="307"/>
    </row>
    <row r="2" spans="1:2" ht="12.75">
      <c r="A2" s="61" t="s">
        <v>179</v>
      </c>
      <c r="B2" s="280">
        <f>Orçamento!B7+Orçamento!C7+Orçamento!D7+Orçamento!E7</f>
        <v>2500</v>
      </c>
    </row>
    <row r="3" spans="1:2" ht="12.75">
      <c r="A3" s="42" t="s">
        <v>207</v>
      </c>
      <c r="B3" s="207">
        <v>3000</v>
      </c>
    </row>
    <row r="4" spans="1:2" ht="12.75">
      <c r="A4" s="42" t="s">
        <v>183</v>
      </c>
      <c r="B4" s="281">
        <f>Orçamento!B1</f>
        <v>10</v>
      </c>
    </row>
    <row r="5" spans="1:2" ht="12.75">
      <c r="A5" s="42" t="s">
        <v>184</v>
      </c>
      <c r="B5" s="281">
        <f>Orçamento!B33</f>
        <v>7</v>
      </c>
    </row>
    <row r="6" spans="1:2" ht="12.75">
      <c r="A6" s="42" t="s">
        <v>208</v>
      </c>
      <c r="B6" s="165">
        <f>B4-B5</f>
        <v>3</v>
      </c>
    </row>
    <row r="7" spans="1:2" ht="12.75">
      <c r="A7" s="42" t="s">
        <v>209</v>
      </c>
      <c r="B7" s="282">
        <f>Orçamento!B21</f>
        <v>60</v>
      </c>
    </row>
    <row r="8" spans="1:2" ht="12.75">
      <c r="A8" s="42" t="s">
        <v>210</v>
      </c>
      <c r="B8" s="207">
        <v>75</v>
      </c>
    </row>
    <row r="9" spans="1:2" ht="12.75">
      <c r="A9" s="42" t="s">
        <v>211</v>
      </c>
      <c r="B9" s="77">
        <f>360/B7</f>
        <v>6</v>
      </c>
    </row>
    <row r="10" spans="1:2" ht="12.75">
      <c r="A10" s="42" t="s">
        <v>212</v>
      </c>
      <c r="B10" s="77">
        <f>360/B8</f>
        <v>4.8</v>
      </c>
    </row>
    <row r="11" spans="1:2" ht="12.75">
      <c r="A11" s="42" t="s">
        <v>213</v>
      </c>
      <c r="B11" s="208">
        <v>0.01</v>
      </c>
    </row>
    <row r="12" spans="1:2" ht="12.75">
      <c r="A12" s="42" t="s">
        <v>214</v>
      </c>
      <c r="B12" s="208">
        <v>0.02</v>
      </c>
    </row>
    <row r="13" spans="1:2" ht="12.75">
      <c r="A13" s="42" t="s">
        <v>193</v>
      </c>
      <c r="B13" s="208">
        <v>0.15</v>
      </c>
    </row>
    <row r="14" spans="1:2" ht="12.75">
      <c r="A14" s="205" t="s">
        <v>215</v>
      </c>
      <c r="B14" s="173">
        <f>(B3-B2)*B6</f>
        <v>1500</v>
      </c>
    </row>
    <row r="15" spans="1:2" ht="12.75">
      <c r="A15" s="42" t="s">
        <v>216</v>
      </c>
      <c r="B15" s="165">
        <f>B3*B5/B10</f>
        <v>4375</v>
      </c>
    </row>
    <row r="16" spans="1:2" ht="12.75">
      <c r="A16" s="42" t="s">
        <v>217</v>
      </c>
      <c r="B16" s="165">
        <f>B2*B5/B9</f>
        <v>2916.6666666666665</v>
      </c>
    </row>
    <row r="17" spans="1:2" ht="12.75">
      <c r="A17" s="42" t="s">
        <v>218</v>
      </c>
      <c r="B17" s="165">
        <f>B15-B16</f>
        <v>1458.3333333333335</v>
      </c>
    </row>
    <row r="18" spans="1:2" ht="12.75">
      <c r="A18" s="205" t="s">
        <v>219</v>
      </c>
      <c r="B18" s="175">
        <f>-B17*B13</f>
        <v>-218.75000000000003</v>
      </c>
    </row>
    <row r="19" spans="1:2" ht="12.75">
      <c r="A19" s="42" t="s">
        <v>220</v>
      </c>
      <c r="B19" s="165">
        <f>B12*B4*B3</f>
        <v>600</v>
      </c>
    </row>
    <row r="20" spans="1:2" ht="12.75">
      <c r="A20" s="42" t="s">
        <v>221</v>
      </c>
      <c r="B20" s="165">
        <f>B11*B4*B2</f>
        <v>250</v>
      </c>
    </row>
    <row r="21" spans="1:2" ht="12.75">
      <c r="A21" s="205" t="s">
        <v>222</v>
      </c>
      <c r="B21" s="175">
        <f>-(B19-B20)</f>
        <v>-350</v>
      </c>
    </row>
    <row r="22" spans="1:2" ht="13.5" thickBot="1">
      <c r="A22" s="180" t="s">
        <v>223</v>
      </c>
      <c r="B22" s="182">
        <f>B14+B18+B21</f>
        <v>931.25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7" sqref="B7"/>
    </sheetView>
  </sheetViews>
  <sheetFormatPr defaultColWidth="9.140625" defaultRowHeight="12.75"/>
  <cols>
    <col min="1" max="1" width="40.140625" style="0" customWidth="1"/>
    <col min="3" max="3" width="30.57421875" style="0" customWidth="1"/>
    <col min="4" max="4" width="9.7109375" style="0" bestFit="1" customWidth="1"/>
  </cols>
  <sheetData>
    <row r="1" spans="1:4" ht="13.5" thickBot="1">
      <c r="A1" s="307" t="s">
        <v>205</v>
      </c>
      <c r="B1" s="307"/>
      <c r="C1" s="307"/>
      <c r="D1" s="307"/>
    </row>
    <row r="2" spans="1:4" ht="12.75">
      <c r="A2" s="61" t="s">
        <v>181</v>
      </c>
      <c r="B2" s="278">
        <f>'Relaxamento dos Padrões de Créd'!B2</f>
        <v>2500</v>
      </c>
      <c r="C2" s="75" t="s">
        <v>183</v>
      </c>
      <c r="D2" s="192">
        <f>'Relaxamento dos Padrões de Créd'!B4</f>
        <v>10</v>
      </c>
    </row>
    <row r="3" spans="1:4" ht="12.75">
      <c r="A3" s="42" t="s">
        <v>180</v>
      </c>
      <c r="B3" s="195">
        <v>3000</v>
      </c>
      <c r="C3" s="67" t="s">
        <v>184</v>
      </c>
      <c r="D3" s="165">
        <f>'Relaxamento dos Padrões de Créd'!B5</f>
        <v>7</v>
      </c>
    </row>
    <row r="4" spans="1:4" ht="12.75">
      <c r="A4" s="42" t="s">
        <v>182</v>
      </c>
      <c r="B4" s="67">
        <f>B3-B2</f>
        <v>500</v>
      </c>
      <c r="C4" s="67" t="s">
        <v>185</v>
      </c>
      <c r="D4" s="165">
        <f>D2-D3</f>
        <v>3</v>
      </c>
    </row>
    <row r="5" spans="1:4" ht="12.75">
      <c r="A5" s="203" t="s">
        <v>186</v>
      </c>
      <c r="B5" s="196"/>
      <c r="C5" s="197"/>
      <c r="D5" s="173">
        <f>B4*D4</f>
        <v>1500</v>
      </c>
    </row>
    <row r="6" spans="1:4" ht="12.75">
      <c r="A6" s="42" t="s">
        <v>187</v>
      </c>
      <c r="B6" s="277">
        <f>'Relaxamento dos Padrões de Créd'!B7</f>
        <v>60</v>
      </c>
      <c r="C6" s="67" t="s">
        <v>189</v>
      </c>
      <c r="D6" s="77">
        <f>360/B6</f>
        <v>6</v>
      </c>
    </row>
    <row r="7" spans="1:4" ht="12.75">
      <c r="A7" s="42" t="s">
        <v>188</v>
      </c>
      <c r="B7" s="195">
        <v>30</v>
      </c>
      <c r="C7" s="67" t="s">
        <v>189</v>
      </c>
      <c r="D7" s="77">
        <f>360/B7</f>
        <v>12</v>
      </c>
    </row>
    <row r="8" spans="1:4" ht="12.75">
      <c r="A8" s="42" t="s">
        <v>190</v>
      </c>
      <c r="B8" s="67"/>
      <c r="C8" s="67"/>
      <c r="D8" s="165">
        <f>D3*B3/D7</f>
        <v>1750</v>
      </c>
    </row>
    <row r="9" spans="1:4" ht="12.75">
      <c r="A9" s="42" t="s">
        <v>191</v>
      </c>
      <c r="B9" s="67"/>
      <c r="C9" s="67"/>
      <c r="D9" s="165">
        <f>D3*B2/D6</f>
        <v>2916.6666666666665</v>
      </c>
    </row>
    <row r="10" spans="1:4" ht="12.75">
      <c r="A10" s="42" t="s">
        <v>192</v>
      </c>
      <c r="B10" s="67"/>
      <c r="C10" s="67"/>
      <c r="D10" s="204">
        <f>D8-D9</f>
        <v>-1166.6666666666665</v>
      </c>
    </row>
    <row r="11" spans="1:4" ht="12.75">
      <c r="A11" s="42" t="s">
        <v>199</v>
      </c>
      <c r="B11" s="199">
        <v>0.15</v>
      </c>
      <c r="C11" s="67"/>
      <c r="D11" s="204"/>
    </row>
    <row r="12" spans="1:4" ht="12.75">
      <c r="A12" s="205" t="s">
        <v>198</v>
      </c>
      <c r="B12" s="200"/>
      <c r="C12" s="189" t="s">
        <v>198</v>
      </c>
      <c r="D12" s="173">
        <f>-D10*B11</f>
        <v>174.99999999999997</v>
      </c>
    </row>
    <row r="13" spans="1:4" ht="12.75">
      <c r="A13" s="42" t="s">
        <v>194</v>
      </c>
      <c r="B13" s="279">
        <f>'Relaxamento dos Padrões de Créd'!B11</f>
        <v>0.01</v>
      </c>
      <c r="C13" s="67" t="s">
        <v>196</v>
      </c>
      <c r="D13" s="77">
        <f>B13*D2*B2</f>
        <v>250</v>
      </c>
    </row>
    <row r="14" spans="1:4" ht="12.75">
      <c r="A14" s="42" t="s">
        <v>195</v>
      </c>
      <c r="B14" s="199">
        <v>0.005</v>
      </c>
      <c r="C14" s="67" t="s">
        <v>197</v>
      </c>
      <c r="D14" s="77">
        <f>B14*D2*B3</f>
        <v>150</v>
      </c>
    </row>
    <row r="15" spans="1:4" ht="12.75">
      <c r="A15" s="205" t="s">
        <v>200</v>
      </c>
      <c r="B15" s="189"/>
      <c r="C15" s="189"/>
      <c r="D15" s="206">
        <f>-(D14-D13)</f>
        <v>100</v>
      </c>
    </row>
    <row r="16" spans="1:4" ht="12.75">
      <c r="A16" s="42" t="s">
        <v>201</v>
      </c>
      <c r="B16" s="201">
        <v>0.02</v>
      </c>
      <c r="C16" s="67"/>
      <c r="D16" s="77"/>
    </row>
    <row r="17" spans="1:4" ht="12.75">
      <c r="A17" s="42" t="s">
        <v>203</v>
      </c>
      <c r="B17" s="201">
        <v>0.6</v>
      </c>
      <c r="C17" s="67"/>
      <c r="D17" s="77"/>
    </row>
    <row r="18" spans="1:4" ht="12.75">
      <c r="A18" s="205" t="s">
        <v>202</v>
      </c>
      <c r="B18" s="189"/>
      <c r="C18" s="189"/>
      <c r="D18" s="175">
        <f>-B16*B17*D2*B3</f>
        <v>-360</v>
      </c>
    </row>
    <row r="19" spans="1:4" ht="13.5" thickBot="1">
      <c r="A19" s="180" t="s">
        <v>204</v>
      </c>
      <c r="B19" s="181"/>
      <c r="C19" s="181"/>
      <c r="D19" s="182">
        <f>D5+D12+D15+D18</f>
        <v>1415</v>
      </c>
    </row>
    <row r="29" ht="12.75">
      <c r="G29" t="s">
        <v>178</v>
      </c>
    </row>
  </sheetData>
  <mergeCells count="1">
    <mergeCell ref="A1:D1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2" sqref="B2"/>
    </sheetView>
  </sheetViews>
  <sheetFormatPr defaultColWidth="9.140625" defaultRowHeight="12.75"/>
  <cols>
    <col min="1" max="1" width="42.28125" style="0" customWidth="1"/>
  </cols>
  <sheetData>
    <row r="1" spans="1:2" ht="13.5" thickBot="1">
      <c r="A1" s="307" t="s">
        <v>230</v>
      </c>
      <c r="B1" s="307"/>
    </row>
    <row r="2" spans="1:2" ht="12.75">
      <c r="A2" s="61" t="s">
        <v>224</v>
      </c>
      <c r="B2" s="209">
        <v>0.02</v>
      </c>
    </row>
    <row r="3" spans="1:2" ht="12.75">
      <c r="A3" s="42" t="s">
        <v>225</v>
      </c>
      <c r="B3" s="207">
        <v>10</v>
      </c>
    </row>
    <row r="4" spans="1:2" ht="12.75">
      <c r="A4" s="42" t="s">
        <v>226</v>
      </c>
      <c r="B4" s="207">
        <v>30</v>
      </c>
    </row>
    <row r="5" spans="1:2" ht="12.75">
      <c r="A5" s="42" t="s">
        <v>227</v>
      </c>
      <c r="B5" s="202">
        <v>1000</v>
      </c>
    </row>
    <row r="6" spans="1:2" ht="12.75">
      <c r="A6" s="205" t="s">
        <v>228</v>
      </c>
      <c r="B6" s="173">
        <f>(B2*B5)/(B5-B2*B5)*B5*360/(B4-B3)</f>
        <v>367.34693877551024</v>
      </c>
    </row>
    <row r="7" spans="1:2" ht="13.5" thickBot="1">
      <c r="A7" s="180" t="s">
        <v>229</v>
      </c>
      <c r="B7" s="176">
        <f>(B5*B2)/(B5-B5*B2)*360/(B4-B3)</f>
        <v>0.36734693877551017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2"/>
  <sheetViews>
    <sheetView workbookViewId="0" topLeftCell="I28">
      <selection activeCell="J47" sqref="J47"/>
    </sheetView>
  </sheetViews>
  <sheetFormatPr defaultColWidth="9.140625" defaultRowHeight="12.75"/>
  <cols>
    <col min="1" max="1" width="31.57421875" style="0" customWidth="1"/>
    <col min="2" max="2" width="13.00390625" style="0" bestFit="1" customWidth="1"/>
    <col min="3" max="3" width="11.00390625" style="0" customWidth="1"/>
    <col min="4" max="4" width="10.421875" style="0" customWidth="1"/>
    <col min="5" max="5" width="10.140625" style="0" customWidth="1"/>
    <col min="6" max="6" width="12.421875" style="105" customWidth="1"/>
    <col min="7" max="7" width="1.7109375" style="0" customWidth="1"/>
    <col min="8" max="8" width="5.421875" style="0" customWidth="1"/>
    <col min="9" max="9" width="29.8515625" style="0" customWidth="1"/>
    <col min="10" max="10" width="12.7109375" style="0" customWidth="1"/>
    <col min="11" max="11" width="13.00390625" style="0" customWidth="1"/>
    <col min="12" max="12" width="13.421875" style="0" customWidth="1"/>
    <col min="13" max="13" width="14.28125" style="0" customWidth="1"/>
    <col min="15" max="15" width="15.8515625" style="0" customWidth="1"/>
    <col min="16" max="16" width="13.8515625" style="0" customWidth="1"/>
    <col min="17" max="17" width="10.140625" style="0" customWidth="1"/>
    <col min="18" max="18" width="10.8515625" style="0" customWidth="1"/>
    <col min="19" max="20" width="10.7109375" style="0" customWidth="1"/>
    <col min="21" max="22" width="9.28125" style="0" customWidth="1"/>
  </cols>
  <sheetData>
    <row r="1" spans="1:24" ht="13.5" thickBot="1">
      <c r="A1" s="61" t="s">
        <v>142</v>
      </c>
      <c r="B1" s="88">
        <v>10</v>
      </c>
      <c r="C1" s="75"/>
      <c r="D1" s="75" t="s">
        <v>143</v>
      </c>
      <c r="E1" s="76"/>
      <c r="F1" s="101"/>
      <c r="H1" s="227" t="s">
        <v>36</v>
      </c>
      <c r="I1" s="61"/>
      <c r="J1" s="81" t="str">
        <f>$B$6</f>
        <v>Trim 1</v>
      </c>
      <c r="K1" s="81" t="str">
        <f>$C$6</f>
        <v>Trim 2</v>
      </c>
      <c r="L1" s="81" t="str">
        <f>$D$6</f>
        <v>Trim 3</v>
      </c>
      <c r="M1" s="82" t="str">
        <f>$E$6</f>
        <v>Trim 4</v>
      </c>
      <c r="O1" s="39" t="s">
        <v>243</v>
      </c>
      <c r="P1" s="226"/>
      <c r="Q1" s="253" t="str">
        <f>J1</f>
        <v>Trim 1</v>
      </c>
      <c r="R1" s="224" t="str">
        <f>K1</f>
        <v>Trim 2</v>
      </c>
      <c r="S1" s="224" t="str">
        <f>L1</f>
        <v>Trim 3</v>
      </c>
      <c r="T1" s="225" t="str">
        <f>M1</f>
        <v>Trim 4</v>
      </c>
      <c r="U1" s="223" t="str">
        <f>Q1</f>
        <v>Trim 1</v>
      </c>
      <c r="V1" s="224" t="str">
        <f>R1</f>
        <v>Trim 2</v>
      </c>
      <c r="W1" s="224" t="str">
        <f>S1</f>
        <v>Trim 3</v>
      </c>
      <c r="X1" s="226" t="str">
        <f>T1</f>
        <v>Trim 4</v>
      </c>
    </row>
    <row r="2" spans="1:21" ht="13.5" thickBot="1">
      <c r="A2" s="42" t="s">
        <v>5</v>
      </c>
      <c r="B2" s="89">
        <f>($B$1/($D$2+$D$3))*D2</f>
        <v>2.5</v>
      </c>
      <c r="C2" s="67"/>
      <c r="D2" s="86">
        <v>1</v>
      </c>
      <c r="E2" s="87"/>
      <c r="F2" s="102"/>
      <c r="H2" s="228" t="s">
        <v>37</v>
      </c>
      <c r="I2" s="41"/>
      <c r="J2" s="66"/>
      <c r="K2" s="66"/>
      <c r="L2" s="66"/>
      <c r="M2" s="83"/>
      <c r="U2" s="17" t="s">
        <v>172</v>
      </c>
    </row>
    <row r="3" spans="1:24" ht="12.75">
      <c r="A3" s="42" t="s">
        <v>6</v>
      </c>
      <c r="B3" s="89">
        <f>($B$1/($D$2+$D$3))*D3</f>
        <v>7.5</v>
      </c>
      <c r="C3" s="67"/>
      <c r="D3" s="55">
        <v>3</v>
      </c>
      <c r="E3" s="78"/>
      <c r="F3" s="103"/>
      <c r="H3" s="229"/>
      <c r="I3" s="42" t="s">
        <v>1</v>
      </c>
      <c r="J3" s="172">
        <f>B10</f>
        <v>1375</v>
      </c>
      <c r="K3" s="172">
        <f>C10</f>
        <v>1545</v>
      </c>
      <c r="L3" s="172">
        <f>D10</f>
        <v>1707.2250000000001</v>
      </c>
      <c r="M3" s="173">
        <f>E10</f>
        <v>1893.7065</v>
      </c>
      <c r="O3" s="258" t="s">
        <v>156</v>
      </c>
      <c r="P3" s="46" t="s">
        <v>157</v>
      </c>
      <c r="Q3" s="191">
        <f>(((J38+J59)/2)/-J25)*O10</f>
        <v>18.812254610624</v>
      </c>
      <c r="R3" s="191">
        <f>(((K38+J38)/2)/-K25)*O10</f>
        <v>18.660201690893906</v>
      </c>
      <c r="S3" s="191">
        <f>(((L38+K38)/2)/-L25)*O10</f>
        <v>18.52986049472614</v>
      </c>
      <c r="T3" s="192">
        <f>(((M38+L38)/2)/-M25)*O10</f>
        <v>16.598327972440053</v>
      </c>
      <c r="U3" s="214">
        <f>-J25/J23*Q3</f>
        <v>11.123658073270017</v>
      </c>
      <c r="V3" s="191">
        <f>-K25/K23*R3</f>
        <v>10.820338971620155</v>
      </c>
      <c r="W3" s="191">
        <f>-L25/L23*S3</f>
        <v>10.727709347839358</v>
      </c>
      <c r="X3" s="192">
        <f>-M25/M23*T3</f>
        <v>9.590140498219375</v>
      </c>
    </row>
    <row r="4" spans="1:24" ht="13.5" thickBot="1">
      <c r="A4" s="64" t="s">
        <v>3</v>
      </c>
      <c r="B4" s="90">
        <f>'Orçamento de Investimento'!B2</f>
        <v>0.03</v>
      </c>
      <c r="C4" s="90">
        <f>'Orçamento de Investimento'!C2</f>
        <v>0.02</v>
      </c>
      <c r="D4" s="90">
        <f>'Orçamento de Investimento'!D2</f>
        <v>0.03</v>
      </c>
      <c r="E4" s="286">
        <f>'Orçamento de Investimento'!E2</f>
        <v>0.04</v>
      </c>
      <c r="F4" s="104"/>
      <c r="H4" s="229"/>
      <c r="I4" s="42" t="s">
        <v>139</v>
      </c>
      <c r="J4" s="172">
        <f>B26</f>
        <v>1783.75</v>
      </c>
      <c r="K4" s="172">
        <f>C26</f>
        <v>4282.606043956044</v>
      </c>
      <c r="L4" s="172">
        <f>D26</f>
        <v>4786.279379957001</v>
      </c>
      <c r="M4" s="173">
        <f>E26</f>
        <v>5218.7380541638795</v>
      </c>
      <c r="O4" s="259">
        <f>L58</f>
        <v>0.22198780025443865</v>
      </c>
      <c r="P4" s="48" t="s">
        <v>159</v>
      </c>
      <c r="Q4" s="68">
        <f>(((J37+J58)/2)/B18)*O10</f>
        <v>34.90909090909091</v>
      </c>
      <c r="R4" s="68">
        <f>(((K37+J37)/2)/C18)*O10</f>
        <v>56.36935879654325</v>
      </c>
      <c r="S4" s="68">
        <f>(((L37+K37)/2)/D18)*O10</f>
        <v>56.198803164177946</v>
      </c>
      <c r="T4" s="165">
        <f>(((M37+L37)/2)/E18)*O10</f>
        <v>56.12814791793263</v>
      </c>
      <c r="U4" s="215">
        <f>B18/J23*Q4</f>
        <v>26.18181818181818</v>
      </c>
      <c r="V4" s="68">
        <f>C18/K23*R4</f>
        <v>42.27701909740744</v>
      </c>
      <c r="W4" s="68">
        <f>D18/L23*S4</f>
        <v>42.14910237313346</v>
      </c>
      <c r="X4" s="165">
        <f>E18/M23*T4</f>
        <v>42.09611093844947</v>
      </c>
    </row>
    <row r="5" spans="2:24" ht="13.5" thickBot="1">
      <c r="B5" s="1"/>
      <c r="H5" s="230" t="s">
        <v>20</v>
      </c>
      <c r="I5" s="48"/>
      <c r="J5" s="49">
        <f>J3+J4</f>
        <v>3158.75</v>
      </c>
      <c r="K5" s="49">
        <f>K3+K4</f>
        <v>5827.606043956044</v>
      </c>
      <c r="L5" s="49">
        <f>L3+L4</f>
        <v>6493.504379957001</v>
      </c>
      <c r="M5" s="121">
        <f>M3+M4</f>
        <v>7112.44455416388</v>
      </c>
      <c r="O5" s="230" t="s">
        <v>167</v>
      </c>
      <c r="P5" s="48" t="s">
        <v>158</v>
      </c>
      <c r="Q5" s="68">
        <f>(((J63+(J45))/2)/B41)*O10</f>
        <v>9.75563909774436</v>
      </c>
      <c r="R5" s="68">
        <f>(((J45+K45)/2)/C41)*O10</f>
        <v>14.221656904292589</v>
      </c>
      <c r="S5" s="68">
        <f>(((K45+L45)/2)/D41)*O10</f>
        <v>14.058176478253204</v>
      </c>
      <c r="T5" s="165">
        <f>(((L45+M45)/2)/E41)*O10</f>
        <v>14.31105863594051</v>
      </c>
      <c r="U5" s="215">
        <f>B41/J23*Q5</f>
        <v>7.077272727272727</v>
      </c>
      <c r="V5" s="68">
        <f>C41/K23*R5</f>
        <v>10.121079163554894</v>
      </c>
      <c r="W5" s="68">
        <f>D41/L23*S5</f>
        <v>9.992119281466122</v>
      </c>
      <c r="X5" s="165">
        <f>E41/M23*T5</f>
        <v>9.760141989711427</v>
      </c>
    </row>
    <row r="6" spans="1:24" ht="13.5" thickBot="1">
      <c r="A6" s="39" t="s">
        <v>0</v>
      </c>
      <c r="B6" s="85" t="s">
        <v>144</v>
      </c>
      <c r="C6" s="85" t="s">
        <v>145</v>
      </c>
      <c r="D6" s="85" t="s">
        <v>146</v>
      </c>
      <c r="E6" s="126" t="s">
        <v>147</v>
      </c>
      <c r="F6" s="106"/>
      <c r="H6" s="229" t="s">
        <v>39</v>
      </c>
      <c r="I6" s="42"/>
      <c r="J6" s="68"/>
      <c r="K6" s="68"/>
      <c r="L6" s="68"/>
      <c r="M6" s="165"/>
      <c r="O6" s="242">
        <v>0.035</v>
      </c>
      <c r="P6" s="212" t="s">
        <v>160</v>
      </c>
      <c r="Q6" s="177">
        <f aca="true" t="shared" si="0" ref="Q6:X6">Q3+Q4-Q5</f>
        <v>43.96570642197054</v>
      </c>
      <c r="R6" s="177">
        <f t="shared" si="0"/>
        <v>60.807903583144565</v>
      </c>
      <c r="S6" s="177">
        <f t="shared" si="0"/>
        <v>60.67048718065088</v>
      </c>
      <c r="T6" s="178">
        <f t="shared" si="0"/>
        <v>58.41541725443217</v>
      </c>
      <c r="U6" s="179">
        <f t="shared" si="0"/>
        <v>30.228203527815467</v>
      </c>
      <c r="V6" s="177">
        <f t="shared" si="0"/>
        <v>42.9762789054727</v>
      </c>
      <c r="W6" s="177">
        <f t="shared" si="0"/>
        <v>42.88469243950669</v>
      </c>
      <c r="X6" s="178">
        <f t="shared" si="0"/>
        <v>41.92610944695742</v>
      </c>
    </row>
    <row r="7" spans="1:24" ht="12.75">
      <c r="A7" s="41" t="s">
        <v>141</v>
      </c>
      <c r="B7" s="93">
        <v>550</v>
      </c>
      <c r="C7" s="93">
        <v>600</v>
      </c>
      <c r="D7" s="93">
        <v>650</v>
      </c>
      <c r="E7" s="127">
        <v>700</v>
      </c>
      <c r="F7" s="107"/>
      <c r="H7" s="229"/>
      <c r="I7" s="42" t="s">
        <v>49</v>
      </c>
      <c r="J7" s="174">
        <f>B79</f>
        <v>700</v>
      </c>
      <c r="K7" s="174">
        <f>C79</f>
        <v>630</v>
      </c>
      <c r="L7" s="174">
        <f>D79</f>
        <v>665</v>
      </c>
      <c r="M7" s="175">
        <f>E79</f>
        <v>840</v>
      </c>
      <c r="O7" s="230" t="s">
        <v>168</v>
      </c>
      <c r="P7" s="212" t="s">
        <v>161</v>
      </c>
      <c r="Q7" s="177">
        <f>O10/Q6</f>
        <v>2.047050015214249</v>
      </c>
      <c r="R7" s="177">
        <f>O10/R6</f>
        <v>1.4800707588437112</v>
      </c>
      <c r="S7" s="177">
        <f>O10/S6</f>
        <v>1.4834230641995394</v>
      </c>
      <c r="T7" s="178">
        <f>O10/T6</f>
        <v>1.5406891575900095</v>
      </c>
      <c r="U7" s="179">
        <f>$O$10/U6</f>
        <v>2.9773519262295416</v>
      </c>
      <c r="V7" s="177">
        <f>$O$10/V6</f>
        <v>2.0941785164312865</v>
      </c>
      <c r="W7" s="177">
        <f>$O$10/W6</f>
        <v>2.098650937673258</v>
      </c>
      <c r="X7" s="178">
        <f>$O$10/X6</f>
        <v>2.146633713148676</v>
      </c>
    </row>
    <row r="8" spans="1:27" ht="13.5" thickBot="1">
      <c r="A8" s="42" t="s">
        <v>4</v>
      </c>
      <c r="B8" s="89">
        <f>B1</f>
        <v>10</v>
      </c>
      <c r="C8" s="89">
        <f>B8+B8*B4</f>
        <v>10.3</v>
      </c>
      <c r="D8" s="89">
        <f>C8+C8*C4</f>
        <v>10.506</v>
      </c>
      <c r="E8" s="125">
        <f>D8+D8*D4</f>
        <v>10.82118</v>
      </c>
      <c r="F8" s="108"/>
      <c r="H8" s="229"/>
      <c r="I8" s="42" t="s">
        <v>170</v>
      </c>
      <c r="J8" s="174">
        <f>B87</f>
        <v>0</v>
      </c>
      <c r="K8" s="174">
        <f>C87</f>
        <v>300</v>
      </c>
      <c r="L8" s="174">
        <f>D87</f>
        <v>270</v>
      </c>
      <c r="M8" s="175">
        <f>E87</f>
        <v>285</v>
      </c>
      <c r="N8" s="38"/>
      <c r="O8" s="243">
        <v>18</v>
      </c>
      <c r="P8" s="251" t="s">
        <v>162</v>
      </c>
      <c r="Q8" s="172">
        <f>J12/Q7</f>
        <v>2147.545639168579</v>
      </c>
      <c r="R8" s="172">
        <f>K12/R7</f>
        <v>3754.3903693304246</v>
      </c>
      <c r="S8" s="172">
        <f>L12/S7</f>
        <v>4077.3960637658643</v>
      </c>
      <c r="T8" s="173">
        <f>M12/T7</f>
        <v>4293.436508718315</v>
      </c>
      <c r="U8" s="216">
        <f>J23/U7</f>
        <v>1847.2791044776118</v>
      </c>
      <c r="V8" s="217">
        <f>K23/V7</f>
        <v>2951.0378181757915</v>
      </c>
      <c r="W8" s="217">
        <f>L23/W7</f>
        <v>3253.94751333497</v>
      </c>
      <c r="X8" s="218">
        <f>M23/X7</f>
        <v>3528.699821307319</v>
      </c>
      <c r="Y8" s="38"/>
      <c r="Z8" s="38"/>
      <c r="AA8" s="38"/>
    </row>
    <row r="9" spans="1:24" ht="12.75">
      <c r="A9" s="43" t="s">
        <v>2</v>
      </c>
      <c r="B9" s="94">
        <f>B7*B8</f>
        <v>5500</v>
      </c>
      <c r="C9" s="94">
        <f>C7*C8</f>
        <v>6180</v>
      </c>
      <c r="D9" s="94">
        <f>D7*D8</f>
        <v>6828.900000000001</v>
      </c>
      <c r="E9" s="128">
        <f>E7*E8</f>
        <v>7574.826</v>
      </c>
      <c r="F9" s="109"/>
      <c r="H9" s="229"/>
      <c r="I9" s="42" t="s">
        <v>50</v>
      </c>
      <c r="J9" s="174">
        <f>B42</f>
        <v>1995</v>
      </c>
      <c r="K9" s="174">
        <f>C42</f>
        <v>2199.05</v>
      </c>
      <c r="L9" s="174">
        <f>D42</f>
        <v>2426.886</v>
      </c>
      <c r="M9" s="175">
        <f>E42</f>
        <v>2583.015666</v>
      </c>
      <c r="O9" s="244" t="s">
        <v>171</v>
      </c>
      <c r="P9" s="48" t="s">
        <v>163</v>
      </c>
      <c r="Q9" s="198">
        <f>J35+J37+J38-J45-J46-J47</f>
        <v>2408.9915422885574</v>
      </c>
      <c r="R9" s="198">
        <f>K35+K37+K38-K45-K46-K47</f>
        <v>2737.652702121636</v>
      </c>
      <c r="S9" s="198">
        <f>L35+L37+L38-L45-L46-L47</f>
        <v>3005.8868079692297</v>
      </c>
      <c r="T9" s="204">
        <f>M35+M37+M38-M45-M46-M47</f>
        <v>3162.0236608487526</v>
      </c>
      <c r="U9" s="211" t="s">
        <v>239</v>
      </c>
      <c r="V9" s="210" t="s">
        <v>240</v>
      </c>
      <c r="W9" s="210" t="s">
        <v>241</v>
      </c>
      <c r="X9" s="254" t="s">
        <v>242</v>
      </c>
    </row>
    <row r="10" spans="1:24" ht="13.5" thickBot="1">
      <c r="A10" s="42" t="s">
        <v>113</v>
      </c>
      <c r="B10" s="136">
        <f>(B9/($D$2+$D$3))*$D$2</f>
        <v>1375</v>
      </c>
      <c r="C10" s="136">
        <f>(C9/($D$2+$D$3))*$D$2</f>
        <v>1545</v>
      </c>
      <c r="D10" s="136">
        <f>(D9/($D$2+$D$3))*$D$2</f>
        <v>1707.2250000000001</v>
      </c>
      <c r="E10" s="137">
        <f>(E9/($D$2+$D$3))*$D$2</f>
        <v>1893.7065</v>
      </c>
      <c r="F10" s="108"/>
      <c r="H10" s="229"/>
      <c r="I10" s="53" t="s">
        <v>140</v>
      </c>
      <c r="J10" s="174">
        <f>B62</f>
        <v>1530</v>
      </c>
      <c r="K10" s="174">
        <f>C62</f>
        <v>2139.0884615384616</v>
      </c>
      <c r="L10" s="174">
        <f>D62</f>
        <v>2360.4716688963213</v>
      </c>
      <c r="M10" s="175">
        <f>E62</f>
        <v>2522.847909411371</v>
      </c>
      <c r="O10" s="245">
        <v>90</v>
      </c>
      <c r="P10" s="48" t="s">
        <v>165</v>
      </c>
      <c r="Q10" s="198">
        <f>J18-J17</f>
        <v>-637.3833333333332</v>
      </c>
      <c r="R10" s="198">
        <f>K18-K17</f>
        <v>270.84264102564157</v>
      </c>
      <c r="S10" s="198">
        <f>L18-L17</f>
        <v>445.0010170903024</v>
      </c>
      <c r="T10" s="204">
        <f>M18-M17</f>
        <v>497.593476380468</v>
      </c>
      <c r="U10" s="255">
        <f>-J27/(J26/J23)</f>
        <v>4189.3328331144885</v>
      </c>
      <c r="V10" s="256">
        <f>-K27/(K26/K23)</f>
        <v>3598.011659906207</v>
      </c>
      <c r="W10" s="256">
        <f>-L27/(L26/L23)</f>
        <v>3783.981984214617</v>
      </c>
      <c r="X10" s="257">
        <f>-M27/(M26/M23)</f>
        <v>4757.704077392792</v>
      </c>
    </row>
    <row r="11" spans="1:22" ht="12.75">
      <c r="A11" s="42" t="s">
        <v>114</v>
      </c>
      <c r="B11" s="89">
        <f>(B9/($D$2+$D$3))*$D$3</f>
        <v>4125</v>
      </c>
      <c r="C11" s="89">
        <f>(C9/($D$2+$D$3))*$D$3</f>
        <v>4635</v>
      </c>
      <c r="D11" s="89">
        <f>(D9/($D$2+$D$3))*$D$3</f>
        <v>5121.675</v>
      </c>
      <c r="E11" s="125">
        <f>(E9/($D$2+$D$3))*$D$3</f>
        <v>5681.1195</v>
      </c>
      <c r="F11" s="108"/>
      <c r="H11" s="229"/>
      <c r="I11" s="53" t="s">
        <v>108</v>
      </c>
      <c r="J11" s="174">
        <f>B102</f>
        <v>171.13333333333338</v>
      </c>
      <c r="K11" s="174">
        <f>C102</f>
        <v>288.6249413919414</v>
      </c>
      <c r="L11" s="174">
        <f>D102</f>
        <v>326.1456939703776</v>
      </c>
      <c r="M11" s="175">
        <f>E102</f>
        <v>383.98750237204024</v>
      </c>
      <c r="O11" s="244" t="s">
        <v>174</v>
      </c>
      <c r="P11" s="48" t="s">
        <v>164</v>
      </c>
      <c r="Q11" s="198">
        <f>Q9+Q10</f>
        <v>1771.6082089552242</v>
      </c>
      <c r="R11" s="198">
        <f>R9+R10</f>
        <v>3008.4953431472777</v>
      </c>
      <c r="S11" s="198">
        <f>S9+S10</f>
        <v>3450.887825059532</v>
      </c>
      <c r="T11" s="204">
        <f>T9+T10</f>
        <v>3659.6171372292206</v>
      </c>
      <c r="U11" s="298">
        <f>J23/Q9</f>
        <v>2.283113038568398</v>
      </c>
      <c r="V11" s="18">
        <f>Q9-600</f>
        <v>1808.9915422885574</v>
      </c>
    </row>
    <row r="12" spans="1:22" ht="13.5" thickBot="1">
      <c r="A12" s="43" t="s">
        <v>2</v>
      </c>
      <c r="B12" s="94">
        <f>B10+B11</f>
        <v>5500</v>
      </c>
      <c r="C12" s="94">
        <f>C10+C11</f>
        <v>6180</v>
      </c>
      <c r="D12" s="94">
        <f>D10+D11</f>
        <v>6828.900000000001</v>
      </c>
      <c r="E12" s="128">
        <f>E10+E11</f>
        <v>7574.826</v>
      </c>
      <c r="F12" s="109"/>
      <c r="H12" s="230" t="s">
        <v>20</v>
      </c>
      <c r="I12" s="48"/>
      <c r="J12" s="70">
        <f>SUM(J7:J11)</f>
        <v>4396.133333333333</v>
      </c>
      <c r="K12" s="70">
        <f>SUM(K7:K11)</f>
        <v>5556.763402930403</v>
      </c>
      <c r="L12" s="70">
        <f>SUM(L7:L11)</f>
        <v>6048.503362866699</v>
      </c>
      <c r="M12" s="166">
        <f>SUM(M7:M11)</f>
        <v>6614.851077783412</v>
      </c>
      <c r="O12" s="246">
        <v>1</v>
      </c>
      <c r="P12" s="48" t="s">
        <v>166</v>
      </c>
      <c r="Q12" s="68">
        <f>J40+Q9</f>
        <v>252183.99154228857</v>
      </c>
      <c r="R12" s="68">
        <f>K40+R9</f>
        <v>281146.65270212165</v>
      </c>
      <c r="S12" s="68">
        <f>L40+S9</f>
        <v>302482.04330796923</v>
      </c>
      <c r="T12" s="165">
        <f>M40+T9</f>
        <v>304769.95262084866</v>
      </c>
      <c r="U12" s="299">
        <f>O10/U11</f>
        <v>39.419861601085486</v>
      </c>
      <c r="V12" s="299">
        <f>Q9/4</f>
        <v>602.2478855721394</v>
      </c>
    </row>
    <row r="13" spans="1:22" ht="13.5" thickBot="1">
      <c r="A13" s="44" t="s">
        <v>102</v>
      </c>
      <c r="B13" s="95">
        <f>0.17*B12</f>
        <v>935.0000000000001</v>
      </c>
      <c r="C13" s="95">
        <f>0.17*C12</f>
        <v>1050.6000000000001</v>
      </c>
      <c r="D13" s="95">
        <f>0.17*D12</f>
        <v>1160.9130000000002</v>
      </c>
      <c r="E13" s="129">
        <f>0.17*E12</f>
        <v>1287.72042</v>
      </c>
      <c r="F13" s="109"/>
      <c r="H13" s="229"/>
      <c r="I13" s="53"/>
      <c r="J13" s="68"/>
      <c r="K13" s="68"/>
      <c r="L13" s="68"/>
      <c r="M13" s="77"/>
      <c r="O13" s="230" t="s">
        <v>175</v>
      </c>
      <c r="P13" s="251" t="s">
        <v>173</v>
      </c>
      <c r="Q13" s="172">
        <f>POWER(($O8*IF(J16&gt;0,J16,-J16)*2/$O6),1/2)</f>
        <v>809.6877705105132</v>
      </c>
      <c r="R13" s="172">
        <f>POWER(($O8*IF(K16&gt;0,K16,-K16)*2/$O6),1/2)</f>
        <v>527.8077322262367</v>
      </c>
      <c r="S13" s="172">
        <f>POWER(($O8*IF(L16&gt;0,L16,-L16)*2/$O6),1/2)</f>
        <v>676.5466220921593</v>
      </c>
      <c r="T13" s="172">
        <f>POWER(($O8*IF(M16&gt;0,M16,-M16)*2/$O6),1/2)</f>
        <v>715.4092764624187</v>
      </c>
      <c r="U13" s="300">
        <f>J38/J23*O10</f>
        <v>11.610952510176391</v>
      </c>
      <c r="V13" s="300">
        <f>V12*3</f>
        <v>1806.7436567164182</v>
      </c>
    </row>
    <row r="14" spans="1:21" ht="13.5" thickBot="1">
      <c r="A14" s="39" t="s">
        <v>131</v>
      </c>
      <c r="B14" s="96">
        <f>B12-B13</f>
        <v>4565</v>
      </c>
      <c r="C14" s="96">
        <f>C12-C13</f>
        <v>5129.4</v>
      </c>
      <c r="D14" s="96">
        <f>D12-D13</f>
        <v>5667.987</v>
      </c>
      <c r="E14" s="130">
        <f>E12-E13</f>
        <v>6287.1055799999995</v>
      </c>
      <c r="F14" s="108"/>
      <c r="H14" s="230" t="s">
        <v>42</v>
      </c>
      <c r="I14" s="48"/>
      <c r="J14" s="171">
        <v>600</v>
      </c>
      <c r="K14" s="70">
        <f>J20</f>
        <v>0</v>
      </c>
      <c r="L14" s="70">
        <f>K20</f>
        <v>0</v>
      </c>
      <c r="M14" s="166">
        <f>L20</f>
        <v>0</v>
      </c>
      <c r="O14" s="247">
        <v>25</v>
      </c>
      <c r="P14" s="43" t="s">
        <v>177</v>
      </c>
      <c r="Q14" s="221">
        <f>IF(J16&gt;0,J16,-J16)/Q13</f>
        <v>0.7871964435518879</v>
      </c>
      <c r="R14" s="221">
        <f>IF(K16&gt;0,K16,-K16)/R13</f>
        <v>0.5131464063310635</v>
      </c>
      <c r="S14" s="221">
        <f>IF(L16&gt;0,L16,-L16)/S13</f>
        <v>0.6577536603673771</v>
      </c>
      <c r="T14" s="221">
        <f>IF(M16&gt;0,M16,-M16)/T13</f>
        <v>0.6955367965606848</v>
      </c>
      <c r="U14" s="308">
        <f>J37/J23*O10</f>
        <v>45</v>
      </c>
    </row>
    <row r="15" spans="8:21" ht="12.75">
      <c r="H15" s="230" t="s">
        <v>43</v>
      </c>
      <c r="I15" s="48"/>
      <c r="J15" s="70">
        <f>J5-J12</f>
        <v>-1237.3833333333332</v>
      </c>
      <c r="K15" s="70">
        <f>K5-K12</f>
        <v>270.84264102564157</v>
      </c>
      <c r="L15" s="70">
        <f>L5-L12</f>
        <v>445.0010170903024</v>
      </c>
      <c r="M15" s="166">
        <f>M5-M12</f>
        <v>497.593476380468</v>
      </c>
      <c r="O15" s="227" t="s">
        <v>233</v>
      </c>
      <c r="P15" s="46" t="s">
        <v>169</v>
      </c>
      <c r="Q15" s="193">
        <f>POWER(($O14*B39*2/$O12),1/2)</f>
        <v>168.81943016134133</v>
      </c>
      <c r="R15" s="193">
        <f>POWER(($O14*C39*2/$O12),1/2)</f>
        <v>174.64249196572982</v>
      </c>
      <c r="S15" s="193">
        <f>POWER(($O14*D39*2/$O12),1/2)</f>
        <v>181.6590212458495</v>
      </c>
      <c r="T15" s="194">
        <f>POWER(($O14*E39*2/$O12),1/2)</f>
        <v>184.66185312619388</v>
      </c>
      <c r="U15" s="299">
        <f>SUM(J45:J47)/J23*O10</f>
        <v>17.191090909090907</v>
      </c>
    </row>
    <row r="16" spans="8:21" ht="13.5" thickBot="1">
      <c r="H16" s="230" t="s">
        <v>44</v>
      </c>
      <c r="I16" s="48"/>
      <c r="J16" s="70">
        <f>J14+J15</f>
        <v>-637.3833333333332</v>
      </c>
      <c r="K16" s="70">
        <f>K14+K15</f>
        <v>270.84264102564157</v>
      </c>
      <c r="L16" s="70">
        <f>L14+L15</f>
        <v>445.0010170903024</v>
      </c>
      <c r="M16" s="166">
        <f>M14+M15</f>
        <v>497.593476380468</v>
      </c>
      <c r="O16" s="248">
        <f>(J16+K16+L16+M16)/4</f>
        <v>144.0134502907697</v>
      </c>
      <c r="P16" s="43" t="s">
        <v>176</v>
      </c>
      <c r="Q16" s="221">
        <f>B39/Q15</f>
        <v>3.376388603226826</v>
      </c>
      <c r="R16" s="221">
        <f>C39/R15</f>
        <v>3.4928498393145957</v>
      </c>
      <c r="S16" s="221">
        <f>D39/S15</f>
        <v>3.6331804249169903</v>
      </c>
      <c r="T16" s="222">
        <f>E39/T15</f>
        <v>3.6932370625238775</v>
      </c>
      <c r="U16" s="38">
        <f>U14+U13-U15</f>
        <v>39.419861601085486</v>
      </c>
    </row>
    <row r="17" spans="1:20" ht="13.5" thickBot="1">
      <c r="A17" s="44" t="s">
        <v>7</v>
      </c>
      <c r="B17" s="45" t="str">
        <f>$B$6</f>
        <v>Trim 1</v>
      </c>
      <c r="C17" s="45" t="str">
        <f>$C$6</f>
        <v>Trim 2</v>
      </c>
      <c r="D17" s="45" t="str">
        <f>$D$6</f>
        <v>Trim 3</v>
      </c>
      <c r="E17" s="118" t="str">
        <f>$E$6</f>
        <v>Trim 4</v>
      </c>
      <c r="F17" s="19"/>
      <c r="H17" s="230" t="s">
        <v>45</v>
      </c>
      <c r="I17" s="48"/>
      <c r="J17" s="49">
        <f>IF(J16&lt;0,-J16+J19,0)</f>
        <v>637.3833333333332</v>
      </c>
      <c r="K17" s="49">
        <f>IF(K16&lt;0,-K16+K19,0)</f>
        <v>0</v>
      </c>
      <c r="L17" s="49">
        <f>IF(L16&lt;0,-L16+L19,0)</f>
        <v>0</v>
      </c>
      <c r="M17" s="121">
        <f>IF(M16&lt;0,-M16+M19,0)</f>
        <v>0</v>
      </c>
      <c r="O17" s="227" t="s">
        <v>234</v>
      </c>
      <c r="P17" s="252" t="s">
        <v>231</v>
      </c>
      <c r="Q17" s="219">
        <f>POWER((3/4*O8*O18/Q18),1/3)</f>
        <v>1353.1371815971834</v>
      </c>
      <c r="R17" s="213" t="s">
        <v>238</v>
      </c>
      <c r="S17" s="219">
        <f>Q20-Q17</f>
        <v>2706.2743631943667</v>
      </c>
      <c r="T17" s="220"/>
    </row>
    <row r="18" spans="1:20" ht="12.75">
      <c r="A18" s="46" t="s">
        <v>115</v>
      </c>
      <c r="B18" s="47">
        <f>B11</f>
        <v>4125</v>
      </c>
      <c r="C18" s="47">
        <f>C11</f>
        <v>4635</v>
      </c>
      <c r="D18" s="47">
        <f>D11</f>
        <v>5121.675</v>
      </c>
      <c r="E18" s="119">
        <f>E11</f>
        <v>5681.1195</v>
      </c>
      <c r="F18" s="109"/>
      <c r="H18" s="229" t="s">
        <v>46</v>
      </c>
      <c r="I18" s="42"/>
      <c r="J18" s="68">
        <f>IF(J16&gt;0,J16-J19,0)</f>
        <v>0</v>
      </c>
      <c r="K18" s="68">
        <f>IF(K16&gt;0,K16-K19,0)</f>
        <v>270.84264102564157</v>
      </c>
      <c r="L18" s="68">
        <f>IF(L16&gt;0,L16-L19,0)</f>
        <v>445.0010170903024</v>
      </c>
      <c r="M18" s="165">
        <f>IF(M16&gt;0,M16-M19,0)</f>
        <v>497.593476380468</v>
      </c>
      <c r="O18" s="249">
        <f>(POWER((J16-O16),2)+POWER((K16-O16),2)+POWER((L16-O16),2)+POWER((M16-O16),2))/4</f>
        <v>210569.73182451262</v>
      </c>
      <c r="P18" s="48" t="s">
        <v>232</v>
      </c>
      <c r="Q18" s="241">
        <f>POWER(($O6+1),1/30)-1</f>
        <v>0.0011473719520513903</v>
      </c>
      <c r="R18" s="67"/>
      <c r="S18" s="67"/>
      <c r="T18" s="77"/>
    </row>
    <row r="19" spans="1:20" ht="12.75">
      <c r="A19" s="48" t="s">
        <v>116</v>
      </c>
      <c r="B19" s="97">
        <v>90</v>
      </c>
      <c r="C19" s="97">
        <v>91</v>
      </c>
      <c r="D19" s="97">
        <v>92</v>
      </c>
      <c r="E19" s="120">
        <v>91</v>
      </c>
      <c r="F19" s="110"/>
      <c r="H19" s="229" t="s">
        <v>47</v>
      </c>
      <c r="I19" s="42"/>
      <c r="J19" s="74"/>
      <c r="K19" s="74"/>
      <c r="L19" s="74"/>
      <c r="M19" s="167"/>
      <c r="O19" s="230" t="s">
        <v>235</v>
      </c>
      <c r="P19" s="48" t="s">
        <v>236</v>
      </c>
      <c r="Q19" s="68">
        <f>4/3*Q17</f>
        <v>1804.1829087962444</v>
      </c>
      <c r="R19" s="67"/>
      <c r="S19" s="67"/>
      <c r="T19" s="77"/>
    </row>
    <row r="20" spans="1:20" ht="13.5" thickBot="1">
      <c r="A20" s="48" t="s">
        <v>117</v>
      </c>
      <c r="B20" s="49">
        <f>B18/B19</f>
        <v>45.833333333333336</v>
      </c>
      <c r="C20" s="49">
        <f>C18/C19</f>
        <v>50.934065934065934</v>
      </c>
      <c r="D20" s="49">
        <f>D18/D19</f>
        <v>55.67038043478261</v>
      </c>
      <c r="E20" s="121">
        <f>E18/E19</f>
        <v>62.429884615384616</v>
      </c>
      <c r="F20" s="109"/>
      <c r="H20" s="231" t="s">
        <v>48</v>
      </c>
      <c r="I20" s="50"/>
      <c r="J20" s="71">
        <f>J16+J17-J18</f>
        <v>0</v>
      </c>
      <c r="K20" s="71">
        <f>K16+K17-K18</f>
        <v>0</v>
      </c>
      <c r="L20" s="71">
        <f>L16+L17-L18</f>
        <v>0</v>
      </c>
      <c r="M20" s="168">
        <f>M16+M17-M18</f>
        <v>0</v>
      </c>
      <c r="O20" s="250">
        <f>POWER(O18,0.5)</f>
        <v>458.87877682947226</v>
      </c>
      <c r="P20" s="50" t="s">
        <v>237</v>
      </c>
      <c r="Q20" s="190">
        <f>3*Q17</f>
        <v>4059.41154479155</v>
      </c>
      <c r="R20" s="72"/>
      <c r="S20" s="72"/>
      <c r="T20" s="183"/>
    </row>
    <row r="21" spans="1:18" ht="13.5" thickBot="1">
      <c r="A21" s="48" t="s">
        <v>119</v>
      </c>
      <c r="B21" s="69">
        <f>((1+$D$3)*30)/2</f>
        <v>60</v>
      </c>
      <c r="C21" s="69">
        <f>((1+$D$3)*30)/2</f>
        <v>60</v>
      </c>
      <c r="D21" s="69">
        <f>((1+$D$3)*30)/2</f>
        <v>60</v>
      </c>
      <c r="E21" s="122">
        <f>((1+$D$3)*30)/2</f>
        <v>60</v>
      </c>
      <c r="F21" s="111"/>
      <c r="O21" s="306" t="s">
        <v>244</v>
      </c>
      <c r="P21" s="306"/>
      <c r="Q21" s="306"/>
      <c r="R21" s="306"/>
    </row>
    <row r="22" spans="1:18" ht="13.5" thickBot="1">
      <c r="A22" s="50" t="s">
        <v>120</v>
      </c>
      <c r="B22" s="51">
        <f>IF(B19&gt;B21,B20*B21,B18)</f>
        <v>2750</v>
      </c>
      <c r="C22" s="51">
        <f>IF(C19&gt;C21,C20*C21,IF(C21&lt;60,C18+B18*(B21-30)/B19,C18+B18))</f>
        <v>3056.043956043956</v>
      </c>
      <c r="D22" s="51">
        <f>IF(D19&gt;D21,D20*D21,IF(D21&lt;60,D18+C18*(C21-30)/C19,IF(D21&lt;90,D18+C18+(D21-60)/D19*B18,D18+C18+B18)))</f>
        <v>3340.2228260869565</v>
      </c>
      <c r="E22" s="123">
        <f>IF(E19&gt;E21,E20*E21,IF(E21&lt;60,E18+D18*(D21-30)/D19,IF(E21&lt;90,E18+D18+(E21-60)/C19*C18,IF(E21&lt;120,E18+D18+C18+(E21-90)/B19*B18,E18+D18+C18+B18))))</f>
        <v>3745.793076923077</v>
      </c>
      <c r="F22" s="109"/>
      <c r="H22" s="232" t="s">
        <v>54</v>
      </c>
      <c r="I22" s="39"/>
      <c r="J22" s="40" t="str">
        <f>$B$6</f>
        <v>Trim 1</v>
      </c>
      <c r="K22" s="40" t="str">
        <f>$C$6</f>
        <v>Trim 2</v>
      </c>
      <c r="L22" s="40" t="str">
        <f>$D$6</f>
        <v>Trim 3</v>
      </c>
      <c r="M22" s="84" t="str">
        <f>$E$6</f>
        <v>Trim 4</v>
      </c>
      <c r="O22" s="223" t="str">
        <f>J22</f>
        <v>Trim 1</v>
      </c>
      <c r="P22" s="224" t="str">
        <f>K22</f>
        <v>Trim 2</v>
      </c>
      <c r="Q22" s="224" t="str">
        <f>L22</f>
        <v>Trim 3</v>
      </c>
      <c r="R22" s="226" t="str">
        <f>M22</f>
        <v>Trim 4</v>
      </c>
    </row>
    <row r="23" spans="1:18" ht="12.75">
      <c r="A23" s="61" t="s">
        <v>118</v>
      </c>
      <c r="B23" s="283">
        <v>450</v>
      </c>
      <c r="C23" s="148">
        <f>B27</f>
        <v>2750</v>
      </c>
      <c r="D23" s="148">
        <f>C27</f>
        <v>3056.043956043956</v>
      </c>
      <c r="E23" s="156">
        <f>D27</f>
        <v>3340.2228260869565</v>
      </c>
      <c r="F23" s="108"/>
      <c r="H23" s="228" t="s">
        <v>55</v>
      </c>
      <c r="I23" s="41"/>
      <c r="J23" s="169">
        <f>B12</f>
        <v>5500</v>
      </c>
      <c r="K23" s="169">
        <f>C12</f>
        <v>6180</v>
      </c>
      <c r="L23" s="169">
        <f>D12</f>
        <v>6828.900000000001</v>
      </c>
      <c r="M23" s="233">
        <f>E12</f>
        <v>7574.826</v>
      </c>
      <c r="O23" s="260">
        <v>1</v>
      </c>
      <c r="P23" s="261">
        <v>1</v>
      </c>
      <c r="Q23" s="261">
        <v>1</v>
      </c>
      <c r="R23" s="262">
        <v>1</v>
      </c>
    </row>
    <row r="24" spans="1:18" ht="12.75">
      <c r="A24" s="42" t="s">
        <v>148</v>
      </c>
      <c r="B24" s="89">
        <f>B18</f>
        <v>4125</v>
      </c>
      <c r="C24" s="89">
        <f>C18</f>
        <v>4635</v>
      </c>
      <c r="D24" s="89">
        <f>D18</f>
        <v>5121.675</v>
      </c>
      <c r="E24" s="125">
        <f>E18</f>
        <v>5681.1195</v>
      </c>
      <c r="F24" s="108"/>
      <c r="H24" s="228"/>
      <c r="I24" s="41" t="s">
        <v>110</v>
      </c>
      <c r="J24" s="169">
        <f>-B13</f>
        <v>-935.0000000000001</v>
      </c>
      <c r="K24" s="169">
        <f>-C13</f>
        <v>-1050.6000000000001</v>
      </c>
      <c r="L24" s="169">
        <f>-D13</f>
        <v>-1160.9130000000002</v>
      </c>
      <c r="M24" s="233">
        <f>-E13</f>
        <v>-1287.72042</v>
      </c>
      <c r="O24" s="263">
        <f aca="true" t="shared" si="1" ref="O24:R27">J24/J$23</f>
        <v>-0.17</v>
      </c>
      <c r="P24" s="264">
        <f t="shared" si="1"/>
        <v>-0.17</v>
      </c>
      <c r="Q24" s="264">
        <f t="shared" si="1"/>
        <v>-0.17</v>
      </c>
      <c r="R24" s="265">
        <f t="shared" si="1"/>
        <v>-0.17</v>
      </c>
    </row>
    <row r="25" spans="1:18" ht="12.75">
      <c r="A25" s="42" t="s">
        <v>245</v>
      </c>
      <c r="B25" s="89">
        <f>'Relaxamento dos Padrões de Créd'!$B$11*B24</f>
        <v>41.25</v>
      </c>
      <c r="C25" s="89">
        <f>'Relaxamento dos Padrões de Créd'!$B$11*C24</f>
        <v>46.35</v>
      </c>
      <c r="D25" s="89">
        <f>'Relaxamento dos Padrões de Créd'!$B$11*D24</f>
        <v>51.216750000000005</v>
      </c>
      <c r="E25" s="125">
        <f>'Relaxamento dos Padrões de Créd'!$B$11*E24</f>
        <v>56.811195</v>
      </c>
      <c r="F25" s="108"/>
      <c r="H25" s="229"/>
      <c r="I25" s="42" t="s">
        <v>56</v>
      </c>
      <c r="J25" s="152">
        <f>-B74</f>
        <v>-3252.1417910447763</v>
      </c>
      <c r="K25" s="152">
        <f>-C74</f>
        <v>-3583.5461991412803</v>
      </c>
      <c r="L25" s="152">
        <f>-D74</f>
        <v>-3953.5351270621054</v>
      </c>
      <c r="M25" s="158">
        <f>-E74</f>
        <v>-4376.564055740008</v>
      </c>
      <c r="O25" s="263">
        <f t="shared" si="1"/>
        <v>-0.5912985074626866</v>
      </c>
      <c r="P25" s="264">
        <f t="shared" si="1"/>
        <v>-0.5798618445212428</v>
      </c>
      <c r="Q25" s="264">
        <f t="shared" si="1"/>
        <v>-0.5789417222484009</v>
      </c>
      <c r="R25" s="265">
        <f t="shared" si="1"/>
        <v>-0.5777775035017317</v>
      </c>
    </row>
    <row r="26" spans="1:18" ht="12.75">
      <c r="A26" s="42" t="s">
        <v>8</v>
      </c>
      <c r="B26" s="136">
        <f>B23+B24-B27-B25</f>
        <v>1783.75</v>
      </c>
      <c r="C26" s="136">
        <f>C23+C24-C27-C25</f>
        <v>4282.606043956044</v>
      </c>
      <c r="D26" s="136">
        <f>D23+D24-D27-D25</f>
        <v>4786.279379957001</v>
      </c>
      <c r="E26" s="137">
        <f>E23+E24-E27-E25</f>
        <v>5218.7380541638795</v>
      </c>
      <c r="F26" s="109"/>
      <c r="H26" s="229" t="s">
        <v>57</v>
      </c>
      <c r="I26" s="42"/>
      <c r="J26" s="152">
        <f>SUM(J23:J25)</f>
        <v>1312.8582089552237</v>
      </c>
      <c r="K26" s="152">
        <f>SUM(K23:K25)</f>
        <v>1545.8538008587193</v>
      </c>
      <c r="L26" s="152">
        <f>SUM(L23:L25)</f>
        <v>1714.4518729378947</v>
      </c>
      <c r="M26" s="158">
        <f>SUM(M23:M25)</f>
        <v>1910.541524259991</v>
      </c>
      <c r="O26" s="263">
        <f t="shared" si="1"/>
        <v>0.2387014925373134</v>
      </c>
      <c r="P26" s="264">
        <f t="shared" si="1"/>
        <v>0.2501381554787572</v>
      </c>
      <c r="Q26" s="264">
        <f t="shared" si="1"/>
        <v>0.251058277751599</v>
      </c>
      <c r="R26" s="265">
        <f t="shared" si="1"/>
        <v>0.2522224964982682</v>
      </c>
    </row>
    <row r="27" spans="1:18" ht="13.5" thickBot="1">
      <c r="A27" s="50" t="s">
        <v>9</v>
      </c>
      <c r="B27" s="51">
        <f>B22</f>
        <v>2750</v>
      </c>
      <c r="C27" s="51">
        <f>C22</f>
        <v>3056.043956043956</v>
      </c>
      <c r="D27" s="51">
        <f>D22</f>
        <v>3340.2228260869565</v>
      </c>
      <c r="E27" s="123">
        <f>E22</f>
        <v>3745.793076923077</v>
      </c>
      <c r="H27" s="229"/>
      <c r="I27" s="42" t="s">
        <v>58</v>
      </c>
      <c r="J27" s="152">
        <f>-B81</f>
        <v>-1000</v>
      </c>
      <c r="K27" s="152">
        <f>-C81</f>
        <v>-900</v>
      </c>
      <c r="L27" s="152">
        <f>-D81</f>
        <v>-950</v>
      </c>
      <c r="M27" s="158">
        <f>-E81</f>
        <v>-1200</v>
      </c>
      <c r="O27" s="263">
        <f t="shared" si="1"/>
        <v>-0.18181818181818182</v>
      </c>
      <c r="P27" s="264">
        <f t="shared" si="1"/>
        <v>-0.14563106796116504</v>
      </c>
      <c r="Q27" s="264">
        <f t="shared" si="1"/>
        <v>-0.1391146451112185</v>
      </c>
      <c r="R27" s="265">
        <f t="shared" si="1"/>
        <v>-0.1584194805266814</v>
      </c>
    </row>
    <row r="28" spans="8:18" ht="13.5" thickBot="1">
      <c r="H28" s="237"/>
      <c r="I28" s="63" t="s">
        <v>245</v>
      </c>
      <c r="J28" s="284">
        <f>-B25</f>
        <v>-41.25</v>
      </c>
      <c r="K28" s="284">
        <f>-C25</f>
        <v>-46.35</v>
      </c>
      <c r="L28" s="284">
        <f>-D25</f>
        <v>-51.216750000000005</v>
      </c>
      <c r="M28" s="285">
        <f>-E25</f>
        <v>-56.811195</v>
      </c>
      <c r="O28" s="266">
        <f>J31/J$23</f>
        <v>0.00847421981004068</v>
      </c>
      <c r="P28" s="267">
        <f>K31/K$23</f>
        <v>-0.39441686070247206</v>
      </c>
      <c r="Q28" s="267">
        <f>L31/L$23</f>
        <v>0.03574684399213535</v>
      </c>
      <c r="R28" s="268">
        <f>M31/M$23</f>
        <v>0.3677315874001516</v>
      </c>
    </row>
    <row r="29" spans="6:18" ht="13.5" thickBot="1">
      <c r="F29" s="19"/>
      <c r="H29" s="237"/>
      <c r="I29" s="63" t="s">
        <v>248</v>
      </c>
      <c r="J29" s="284">
        <f>-'Orçamento de Investimento'!B27</f>
        <v>-7762.499999999999</v>
      </c>
      <c r="K29" s="284">
        <f>-'Orçamento de Investimento'!C27</f>
        <v>-7917.749999999999</v>
      </c>
      <c r="L29" s="284">
        <f>-'Orçamento de Investimento'!D27</f>
        <v>-8883.7155</v>
      </c>
      <c r="M29" s="285">
        <f>-'Orçamento de Investimento'!E27</f>
        <v>-9704.786175</v>
      </c>
      <c r="O29" s="306" t="s">
        <v>244</v>
      </c>
      <c r="P29" s="306"/>
      <c r="Q29" s="306"/>
      <c r="R29" s="306"/>
    </row>
    <row r="30" spans="1:18" ht="13.5" thickBot="1">
      <c r="A30" s="61" t="s">
        <v>10</v>
      </c>
      <c r="B30" s="45"/>
      <c r="C30" s="45"/>
      <c r="D30" s="45" t="s">
        <v>143</v>
      </c>
      <c r="E30" s="118"/>
      <c r="F30" s="101"/>
      <c r="H30" s="234"/>
      <c r="I30" s="42" t="s">
        <v>249</v>
      </c>
      <c r="J30" s="152">
        <f>'Orçamento de Investimento'!B35</f>
        <v>7537.499999999999</v>
      </c>
      <c r="K30" s="152">
        <f>'Orçamento de Investimento'!C35</f>
        <v>4880.750000000003</v>
      </c>
      <c r="L30" s="152">
        <f>'Orçamento de Investimento'!D35</f>
        <v>8414.591999999999</v>
      </c>
      <c r="M30" s="158">
        <f>'Orçamento de Investimento'!E35</f>
        <v>11836.558634999948</v>
      </c>
      <c r="O30" s="269" t="str">
        <f>J33</f>
        <v>Trim 1</v>
      </c>
      <c r="P30" s="270" t="str">
        <f>K33</f>
        <v>Trim 2</v>
      </c>
      <c r="Q30" s="270" t="str">
        <f>L33</f>
        <v>Trim 3</v>
      </c>
      <c r="R30" s="271" t="str">
        <f>M33</f>
        <v>Trim 4</v>
      </c>
    </row>
    <row r="31" spans="1:18" ht="13.5" thickBot="1">
      <c r="A31" s="42" t="s">
        <v>5</v>
      </c>
      <c r="B31" s="89">
        <f>($B$33/($D$31+$D$32))*D31</f>
        <v>3.5</v>
      </c>
      <c r="C31" s="67"/>
      <c r="D31" s="86">
        <v>1</v>
      </c>
      <c r="E31" s="77"/>
      <c r="F31" s="103"/>
      <c r="H31" s="231" t="s">
        <v>59</v>
      </c>
      <c r="I31" s="64"/>
      <c r="J31" s="71">
        <f>J26+J27+J28+J29+J30</f>
        <v>46.608208955223745</v>
      </c>
      <c r="K31" s="71">
        <f>K26+K27+K28+K29+K30</f>
        <v>-2437.4961991412774</v>
      </c>
      <c r="L31" s="71">
        <f>L26+L27+L28+L29+L30</f>
        <v>244.11162293789312</v>
      </c>
      <c r="M31" s="168">
        <f>M26+M27+M28+M29+M30</f>
        <v>2785.502789259941</v>
      </c>
      <c r="O31" s="260"/>
      <c r="P31" s="261"/>
      <c r="Q31" s="261"/>
      <c r="R31" s="262"/>
    </row>
    <row r="32" spans="1:18" ht="13.5" thickBot="1">
      <c r="A32" s="42" t="s">
        <v>6</v>
      </c>
      <c r="B32" s="89">
        <f>($B$33/($D$31+$D$32))*D32</f>
        <v>3.5</v>
      </c>
      <c r="C32" s="67"/>
      <c r="D32" s="86">
        <v>1</v>
      </c>
      <c r="E32" s="78"/>
      <c r="F32" s="112"/>
      <c r="O32" s="272">
        <f aca="true" t="shared" si="2" ref="O32:R37">J35/J$43</f>
        <v>0</v>
      </c>
      <c r="P32" s="241">
        <f t="shared" si="2"/>
        <v>0</v>
      </c>
      <c r="Q32" s="241">
        <f t="shared" si="2"/>
        <v>0</v>
      </c>
      <c r="R32" s="273">
        <f t="shared" si="2"/>
        <v>0</v>
      </c>
    </row>
    <row r="33" spans="1:18" ht="13.5" thickBot="1">
      <c r="A33" s="64" t="s">
        <v>15</v>
      </c>
      <c r="B33" s="99">
        <v>7</v>
      </c>
      <c r="C33" s="72"/>
      <c r="D33" s="79"/>
      <c r="E33" s="80"/>
      <c r="H33" s="232" t="s">
        <v>60</v>
      </c>
      <c r="I33" s="39"/>
      <c r="J33" s="40" t="str">
        <f>$B$6</f>
        <v>Trim 1</v>
      </c>
      <c r="K33" s="40" t="str">
        <f>$C$6</f>
        <v>Trim 2</v>
      </c>
      <c r="L33" s="40" t="str">
        <f>$D$6</f>
        <v>Trim 3</v>
      </c>
      <c r="M33" s="84" t="str">
        <f>$E$6</f>
        <v>Trim 4</v>
      </c>
      <c r="O33" s="272">
        <f t="shared" si="2"/>
        <v>0</v>
      </c>
      <c r="P33" s="241">
        <f t="shared" si="2"/>
        <v>0.0009586931978227825</v>
      </c>
      <c r="Q33" s="241">
        <f t="shared" si="2"/>
        <v>0.0023517801117377123</v>
      </c>
      <c r="R33" s="273">
        <f t="shared" si="2"/>
        <v>0.003948320710357136</v>
      </c>
    </row>
    <row r="34" spans="6:18" ht="13.5" thickBot="1">
      <c r="F34" s="133" t="s">
        <v>150</v>
      </c>
      <c r="H34" s="234" t="s">
        <v>61</v>
      </c>
      <c r="I34" s="41"/>
      <c r="J34" s="66"/>
      <c r="K34" s="66"/>
      <c r="L34" s="66"/>
      <c r="M34" s="83"/>
      <c r="O34" s="272">
        <f t="shared" si="2"/>
        <v>0.010859497295510716</v>
      </c>
      <c r="P34" s="241">
        <f t="shared" si="2"/>
        <v>0.010817382897360658</v>
      </c>
      <c r="Q34" s="241">
        <f t="shared" si="2"/>
        <v>0.010973722435201491</v>
      </c>
      <c r="R34" s="273">
        <f t="shared" si="2"/>
        <v>0.01218818178699104</v>
      </c>
    </row>
    <row r="35" spans="1:18" ht="13.5" thickBot="1">
      <c r="A35" s="44" t="s">
        <v>11</v>
      </c>
      <c r="B35" s="45" t="str">
        <f>$B$6</f>
        <v>Trim 1</v>
      </c>
      <c r="C35" s="45" t="str">
        <f>$C$6</f>
        <v>Trim 2</v>
      </c>
      <c r="D35" s="45" t="str">
        <f>$D$6</f>
        <v>Trim 3</v>
      </c>
      <c r="E35" s="40" t="str">
        <f>$E$6</f>
        <v>Trim 4</v>
      </c>
      <c r="F35" s="132">
        <f>610</f>
        <v>610</v>
      </c>
      <c r="H35" s="235"/>
      <c r="I35" s="53" t="s">
        <v>62</v>
      </c>
      <c r="J35" s="152">
        <f>J20</f>
        <v>0</v>
      </c>
      <c r="K35" s="152">
        <f>K20</f>
        <v>0</v>
      </c>
      <c r="L35" s="152">
        <f>L20</f>
        <v>0</v>
      </c>
      <c r="M35" s="158">
        <f>M20</f>
        <v>0</v>
      </c>
      <c r="O35" s="272">
        <f t="shared" si="2"/>
        <v>0.002801980164056975</v>
      </c>
      <c r="P35" s="241">
        <f t="shared" si="2"/>
        <v>0.002748322640930171</v>
      </c>
      <c r="Q35" s="241">
        <f t="shared" si="2"/>
        <v>0.00279755615273558</v>
      </c>
      <c r="R35" s="273">
        <f t="shared" si="2"/>
        <v>0.0024819339534998108</v>
      </c>
    </row>
    <row r="36" spans="1:18" ht="13.5" thickBot="1">
      <c r="A36" s="52" t="s">
        <v>149</v>
      </c>
      <c r="B36" s="100">
        <f>B7</f>
        <v>550</v>
      </c>
      <c r="C36" s="100">
        <f>C7</f>
        <v>600</v>
      </c>
      <c r="D36" s="100">
        <f>D7</f>
        <v>650</v>
      </c>
      <c r="E36" s="100">
        <f>E7</f>
        <v>700</v>
      </c>
      <c r="F36" s="131">
        <v>0.2</v>
      </c>
      <c r="H36" s="234"/>
      <c r="I36" s="53" t="s">
        <v>151</v>
      </c>
      <c r="J36" s="152">
        <f>J18</f>
        <v>0</v>
      </c>
      <c r="K36" s="152">
        <f>J36+K18</f>
        <v>270.84264102564157</v>
      </c>
      <c r="L36" s="152">
        <f>K36+L18</f>
        <v>715.843658115944</v>
      </c>
      <c r="M36" s="158">
        <f>L36+M18</f>
        <v>1213.437134496412</v>
      </c>
      <c r="O36" s="272">
        <f t="shared" si="2"/>
        <v>0</v>
      </c>
      <c r="P36" s="241">
        <f t="shared" si="2"/>
        <v>0</v>
      </c>
      <c r="Q36" s="241">
        <f t="shared" si="2"/>
        <v>0</v>
      </c>
      <c r="R36" s="273">
        <f t="shared" si="2"/>
        <v>0</v>
      </c>
    </row>
    <row r="37" spans="1:18" ht="12.75">
      <c r="A37" s="53" t="s">
        <v>12</v>
      </c>
      <c r="B37" s="69">
        <f>$F$36*C36</f>
        <v>120</v>
      </c>
      <c r="C37" s="69">
        <f>$F$36*D36</f>
        <v>130</v>
      </c>
      <c r="D37" s="69">
        <f>$F$36*E36</f>
        <v>140</v>
      </c>
      <c r="E37" s="69">
        <f>$F$36*F35</f>
        <v>122</v>
      </c>
      <c r="F37" s="107"/>
      <c r="H37" s="234"/>
      <c r="I37" s="53" t="s">
        <v>38</v>
      </c>
      <c r="J37" s="89">
        <f>B27</f>
        <v>2750</v>
      </c>
      <c r="K37" s="89">
        <f>C27</f>
        <v>3056.043956043956</v>
      </c>
      <c r="L37" s="89">
        <f>D27</f>
        <v>3340.2228260869565</v>
      </c>
      <c r="M37" s="125">
        <f>E27</f>
        <v>3745.793076923077</v>
      </c>
      <c r="O37" s="272">
        <f t="shared" si="2"/>
        <v>0.9863385225404323</v>
      </c>
      <c r="P37" s="241">
        <f t="shared" si="2"/>
        <v>0.9854756012638863</v>
      </c>
      <c r="Q37" s="241">
        <f t="shared" si="2"/>
        <v>0.9838769413003251</v>
      </c>
      <c r="R37" s="273">
        <f t="shared" si="2"/>
        <v>0.9813815635491521</v>
      </c>
    </row>
    <row r="38" spans="1:18" ht="12.75">
      <c r="A38" s="53" t="s">
        <v>13</v>
      </c>
      <c r="B38" s="55">
        <v>100</v>
      </c>
      <c r="C38" s="69">
        <f>B37</f>
        <v>120</v>
      </c>
      <c r="D38" s="69">
        <f>C37</f>
        <v>130</v>
      </c>
      <c r="E38" s="122">
        <f>D37</f>
        <v>140</v>
      </c>
      <c r="F38" s="107"/>
      <c r="H38" s="234"/>
      <c r="I38" s="53" t="s">
        <v>63</v>
      </c>
      <c r="J38" s="89">
        <f>B76</f>
        <v>709.5582089552239</v>
      </c>
      <c r="K38" s="89">
        <f>C76</f>
        <v>776.435009813944</v>
      </c>
      <c r="L38" s="89">
        <f>D76</f>
        <v>851.5306427518382</v>
      </c>
      <c r="M38" s="125">
        <f>E76</f>
        <v>762.7725925718299</v>
      </c>
      <c r="O38" s="272">
        <v>1</v>
      </c>
      <c r="P38" s="241">
        <v>1</v>
      </c>
      <c r="Q38" s="241">
        <v>1</v>
      </c>
      <c r="R38" s="273">
        <v>1</v>
      </c>
    </row>
    <row r="39" spans="1:18" ht="12.75">
      <c r="A39" s="53" t="s">
        <v>14</v>
      </c>
      <c r="B39" s="69">
        <f>B36+B37-B38</f>
        <v>570</v>
      </c>
      <c r="C39" s="69">
        <f>C36+C37-C38</f>
        <v>610</v>
      </c>
      <c r="D39" s="69">
        <f>D36+D37-D38</f>
        <v>660</v>
      </c>
      <c r="E39" s="122">
        <f>E36+E37-E38</f>
        <v>682</v>
      </c>
      <c r="F39" s="113"/>
      <c r="H39" s="234"/>
      <c r="I39" s="53" t="s">
        <v>109</v>
      </c>
      <c r="J39" s="89"/>
      <c r="K39" s="89"/>
      <c r="L39" s="89"/>
      <c r="M39" s="125"/>
      <c r="O39" s="272"/>
      <c r="P39" s="241"/>
      <c r="Q39" s="241"/>
      <c r="R39" s="273"/>
    </row>
    <row r="40" spans="1:18" ht="12.75">
      <c r="A40" s="53" t="s">
        <v>16</v>
      </c>
      <c r="B40" s="89">
        <f>B33</f>
        <v>7</v>
      </c>
      <c r="C40" s="89">
        <f>B40+B40*B4</f>
        <v>7.21</v>
      </c>
      <c r="D40" s="89">
        <f>C40+C40*C4</f>
        <v>7.3542</v>
      </c>
      <c r="E40" s="125">
        <f>D40+D40*D4</f>
        <v>7.574826</v>
      </c>
      <c r="F40" s="114"/>
      <c r="H40" s="234"/>
      <c r="I40" s="53" t="s">
        <v>137</v>
      </c>
      <c r="J40" s="89">
        <f>J41+J42</f>
        <v>249775</v>
      </c>
      <c r="K40" s="89">
        <f>K41+K42</f>
        <v>278409</v>
      </c>
      <c r="L40" s="89">
        <f>L41+L42</f>
        <v>299476.1565</v>
      </c>
      <c r="M40" s="125">
        <f>M41+M42</f>
        <v>301607.92895999993</v>
      </c>
      <c r="O40" s="272">
        <f aca="true" t="shared" si="3" ref="O40:R43">J45/J$52</f>
        <v>0.0026260238914598637</v>
      </c>
      <c r="P40" s="241">
        <f t="shared" si="3"/>
        <v>0.0025661236095405565</v>
      </c>
      <c r="Q40" s="241">
        <f t="shared" si="3"/>
        <v>0.0025999280846477372</v>
      </c>
      <c r="R40" s="273">
        <f t="shared" si="3"/>
        <v>0.0027707799929092957</v>
      </c>
    </row>
    <row r="41" spans="1:18" ht="12.75">
      <c r="A41" s="48" t="s">
        <v>17</v>
      </c>
      <c r="B41" s="49">
        <f>B39*B40</f>
        <v>3990</v>
      </c>
      <c r="C41" s="49">
        <f>C39*C40</f>
        <v>4398.1</v>
      </c>
      <c r="D41" s="49">
        <f>D39*D40</f>
        <v>4853.772</v>
      </c>
      <c r="E41" s="121">
        <f>E39*E40</f>
        <v>5166.031332</v>
      </c>
      <c r="F41" s="113"/>
      <c r="H41" s="234"/>
      <c r="I41" s="53" t="s">
        <v>246</v>
      </c>
      <c r="J41" s="89">
        <f>'Orçamento de Investimento'!B17</f>
        <v>309000</v>
      </c>
      <c r="K41" s="89">
        <f>'Orçamento de Investimento'!C17</f>
        <v>346698</v>
      </c>
      <c r="L41" s="89">
        <f>'Orçamento de Investimento'!D17</f>
        <v>378741.3</v>
      </c>
      <c r="M41" s="125">
        <f>'Orçamento de Investimento'!E17</f>
        <v>393890.95199999993</v>
      </c>
      <c r="O41" s="272">
        <f t="shared" si="3"/>
        <v>0.0011846724322375323</v>
      </c>
      <c r="P41" s="241">
        <f t="shared" si="3"/>
        <v>0.0009557105278250679</v>
      </c>
      <c r="Q41" s="241">
        <f t="shared" si="3"/>
        <v>0.0009363180413015373</v>
      </c>
      <c r="R41" s="273">
        <f t="shared" si="3"/>
        <v>0.001171379559204327</v>
      </c>
    </row>
    <row r="42" spans="1:18" ht="12.75">
      <c r="A42" s="53" t="s">
        <v>50</v>
      </c>
      <c r="B42" s="89">
        <f>(B41/($D$31+$D$32))*$D$31</f>
        <v>1995</v>
      </c>
      <c r="C42" s="89">
        <f>(C41/($D$31+$D$32))*$D$31</f>
        <v>2199.05</v>
      </c>
      <c r="D42" s="89">
        <f>(D41/($D$31+$D$32))*$D$31</f>
        <v>2426.886</v>
      </c>
      <c r="E42" s="125">
        <f>(E41/($D$31+$D$32))*$D$31</f>
        <v>2583.015666</v>
      </c>
      <c r="F42" s="113"/>
      <c r="H42" s="234"/>
      <c r="I42" s="53" t="s">
        <v>247</v>
      </c>
      <c r="J42" s="152">
        <f>-'Orçamento de Investimento'!B29</f>
        <v>-59225</v>
      </c>
      <c r="K42" s="152">
        <f>-'Orçamento de Investimento'!C29</f>
        <v>-68289</v>
      </c>
      <c r="L42" s="152">
        <f>-'Orçamento de Investimento'!D29</f>
        <v>-79265.14349999999</v>
      </c>
      <c r="M42" s="158">
        <f>-'Orçamento de Investimento'!E29</f>
        <v>-92283.02303999999</v>
      </c>
      <c r="O42" s="272">
        <f t="shared" si="3"/>
        <v>0.000337894903728194</v>
      </c>
      <c r="P42" s="241">
        <f t="shared" si="3"/>
        <v>0.0003534880344570855</v>
      </c>
      <c r="Q42" s="241">
        <f t="shared" si="3"/>
        <v>0.00035971299387593824</v>
      </c>
      <c r="R42" s="273">
        <f t="shared" si="3"/>
        <v>0.0004392620716031571</v>
      </c>
    </row>
    <row r="43" spans="1:18" ht="13.5" thickBot="1">
      <c r="A43" s="54" t="s">
        <v>51</v>
      </c>
      <c r="B43" s="89">
        <f>(B41/($D$31+$D$32))*$D$32</f>
        <v>1995</v>
      </c>
      <c r="C43" s="89">
        <f>(C41/($D$31+$D$32))*$D$32</f>
        <v>2199.05</v>
      </c>
      <c r="D43" s="89">
        <f>(D41/($D$31+$D$32))*$D$32</f>
        <v>2426.886</v>
      </c>
      <c r="E43" s="125">
        <f>(E41/($D$31+$D$32))*$D$32</f>
        <v>2583.015666</v>
      </c>
      <c r="F43" s="113"/>
      <c r="H43" s="236"/>
      <c r="I43" s="48" t="s">
        <v>20</v>
      </c>
      <c r="J43" s="70">
        <f>SUM(J35:J40)</f>
        <v>253234.55820895522</v>
      </c>
      <c r="K43" s="70">
        <f>SUM(K35:K40)</f>
        <v>282512.32160688355</v>
      </c>
      <c r="L43" s="70">
        <f>SUM(L35:L40)</f>
        <v>304383.75362695474</v>
      </c>
      <c r="M43" s="166">
        <f>SUM(M35:M40)</f>
        <v>307329.93176399125</v>
      </c>
      <c r="O43" s="272">
        <f t="shared" si="3"/>
        <v>0.002516968212558886</v>
      </c>
      <c r="P43" s="241">
        <f t="shared" si="3"/>
        <v>0.0022561257849144484</v>
      </c>
      <c r="Q43" s="241">
        <f t="shared" si="3"/>
        <v>0.002094012330613724</v>
      </c>
      <c r="R43" s="273">
        <f t="shared" si="3"/>
        <v>0.00207393835567829</v>
      </c>
    </row>
    <row r="44" spans="1:18" ht="13.5" thickBot="1">
      <c r="A44" s="44" t="s">
        <v>101</v>
      </c>
      <c r="B44" s="134">
        <f>0.17*B41</f>
        <v>678.3000000000001</v>
      </c>
      <c r="C44" s="134">
        <f>0.17*C41</f>
        <v>747.6770000000001</v>
      </c>
      <c r="D44" s="134">
        <f>0.17*D41</f>
        <v>825.14124</v>
      </c>
      <c r="E44" s="135">
        <f>0.17*E41</f>
        <v>878.22532644</v>
      </c>
      <c r="F44" s="113"/>
      <c r="H44" s="234" t="s">
        <v>64</v>
      </c>
      <c r="I44" s="53"/>
      <c r="J44" s="73"/>
      <c r="K44" s="73"/>
      <c r="L44" s="73"/>
      <c r="M44" s="77"/>
      <c r="O44" s="272"/>
      <c r="P44" s="241"/>
      <c r="Q44" s="241"/>
      <c r="R44" s="273"/>
    </row>
    <row r="45" spans="1:18" ht="13.5" thickBot="1">
      <c r="A45" s="39" t="s">
        <v>112</v>
      </c>
      <c r="B45" s="96">
        <f>B41-B44</f>
        <v>3311.7</v>
      </c>
      <c r="C45" s="96">
        <f>C41-C44</f>
        <v>3650.4230000000002</v>
      </c>
      <c r="D45" s="96">
        <f>D41-D44</f>
        <v>4028.63076</v>
      </c>
      <c r="E45" s="130">
        <f>E41-E44</f>
        <v>4287.80600556</v>
      </c>
      <c r="H45" s="235"/>
      <c r="I45" s="53" t="s">
        <v>41</v>
      </c>
      <c r="J45" s="89">
        <f>B63</f>
        <v>665</v>
      </c>
      <c r="K45" s="89">
        <f>C63</f>
        <v>724.9615384615386</v>
      </c>
      <c r="L45" s="89">
        <f>D63</f>
        <v>791.3758695652174</v>
      </c>
      <c r="M45" s="125">
        <f>E63</f>
        <v>851.5436261538462</v>
      </c>
      <c r="O45" s="272">
        <f aca="true" t="shared" si="4" ref="O45:R46">J50/J$52</f>
        <v>0.993150389025798</v>
      </c>
      <c r="P45" s="241">
        <f t="shared" si="4"/>
        <v>1.0023315032398232</v>
      </c>
      <c r="Q45" s="241">
        <f t="shared" si="4"/>
        <v>1.001062889754102</v>
      </c>
      <c r="R45" s="273">
        <f t="shared" si="4"/>
        <v>0.9914663314798595</v>
      </c>
    </row>
    <row r="46" spans="8:18" ht="12.75">
      <c r="H46" s="234"/>
      <c r="I46" s="53" t="s">
        <v>40</v>
      </c>
      <c r="J46" s="89">
        <f>B88</f>
        <v>300</v>
      </c>
      <c r="K46" s="89">
        <f>C88</f>
        <v>270</v>
      </c>
      <c r="L46" s="89">
        <f>D88</f>
        <v>285</v>
      </c>
      <c r="M46" s="125">
        <f>E88</f>
        <v>360</v>
      </c>
      <c r="O46" s="272">
        <f t="shared" si="4"/>
        <v>0.00018405153421740018</v>
      </c>
      <c r="P46" s="241">
        <f t="shared" si="4"/>
        <v>-0.008462951196560478</v>
      </c>
      <c r="Q46" s="241">
        <f t="shared" si="4"/>
        <v>-0.0070528612045411485</v>
      </c>
      <c r="R46" s="273">
        <f t="shared" si="4"/>
        <v>0.0020783085407453227</v>
      </c>
    </row>
    <row r="47" spans="8:18" ht="13.5" thickBot="1">
      <c r="H47" s="234"/>
      <c r="I47" s="53" t="s">
        <v>105</v>
      </c>
      <c r="J47" s="89">
        <f>B98</f>
        <v>85.56666666666668</v>
      </c>
      <c r="K47" s="89">
        <f>C98</f>
        <v>99.86472527472527</v>
      </c>
      <c r="L47" s="89">
        <f>D98</f>
        <v>109.49079130434788</v>
      </c>
      <c r="M47" s="125">
        <f>E98</f>
        <v>134.99838249230774</v>
      </c>
      <c r="O47" s="274">
        <v>1</v>
      </c>
      <c r="P47" s="275">
        <v>1</v>
      </c>
      <c r="Q47" s="275">
        <v>1</v>
      </c>
      <c r="R47" s="276">
        <v>1</v>
      </c>
    </row>
    <row r="48" spans="8:13" ht="12.75">
      <c r="H48" s="236"/>
      <c r="I48" s="42" t="s">
        <v>65</v>
      </c>
      <c r="J48" s="89">
        <f>J17</f>
        <v>637.3833333333332</v>
      </c>
      <c r="K48" s="89">
        <f>J48+K17</f>
        <v>637.3833333333332</v>
      </c>
      <c r="L48" s="89">
        <f>K48+L17</f>
        <v>637.3833333333332</v>
      </c>
      <c r="M48" s="125">
        <f>L48+M17</f>
        <v>637.3833333333332</v>
      </c>
    </row>
    <row r="49" spans="8:13" ht="12.75">
      <c r="H49" s="234" t="s">
        <v>66</v>
      </c>
      <c r="I49" s="42"/>
      <c r="J49" s="73"/>
      <c r="K49" s="73"/>
      <c r="L49" s="73"/>
      <c r="M49" s="240"/>
    </row>
    <row r="50" spans="8:13" ht="12.75">
      <c r="H50" s="234"/>
      <c r="I50" s="42" t="s">
        <v>138</v>
      </c>
      <c r="J50" s="89">
        <f>$J64+'Orçamento de Investimento'!B10-'Orçamento de Investimento'!B21</f>
        <v>251500</v>
      </c>
      <c r="K50" s="89">
        <f>J50+'Orçamento de Investimento'!C15</f>
        <v>283171</v>
      </c>
      <c r="L50" s="89">
        <f>K50++'Orçamento de Investimento'!D15</f>
        <v>304707.28</v>
      </c>
      <c r="M50" s="125">
        <f>L50+'Orçamento de Investimento'!E9</f>
        <v>304707.28</v>
      </c>
    </row>
    <row r="51" spans="8:13" ht="12.75">
      <c r="H51" s="237"/>
      <c r="I51" s="42" t="s">
        <v>67</v>
      </c>
      <c r="J51" s="152">
        <f>J31</f>
        <v>46.608208955223745</v>
      </c>
      <c r="K51" s="152">
        <f>K31+J51</f>
        <v>-2390.8879901860537</v>
      </c>
      <c r="L51" s="152">
        <f>L31+K51</f>
        <v>-2146.7763672481606</v>
      </c>
      <c r="M51" s="158">
        <f>M31+L51</f>
        <v>638.7264220117804</v>
      </c>
    </row>
    <row r="52" spans="8:13" ht="13.5" thickBot="1">
      <c r="H52" s="238"/>
      <c r="I52" s="50" t="s">
        <v>20</v>
      </c>
      <c r="J52" s="51">
        <f>SUM(J45:J51)</f>
        <v>253234.55820895525</v>
      </c>
      <c r="K52" s="51">
        <f>SUM(K45:K51)</f>
        <v>282512.32160688355</v>
      </c>
      <c r="L52" s="51">
        <f>SUM(L45:L51)</f>
        <v>304383.7536269548</v>
      </c>
      <c r="M52" s="123">
        <f>SUM(M45:M51)</f>
        <v>307329.9317639913</v>
      </c>
    </row>
    <row r="53" spans="6:13" ht="13.5" thickBot="1">
      <c r="F53" s="19"/>
      <c r="J53" s="38">
        <f>J43-J52</f>
        <v>0</v>
      </c>
      <c r="K53" s="38">
        <f>K43-K52</f>
        <v>0</v>
      </c>
      <c r="L53" s="38">
        <f>L43-L52</f>
        <v>0</v>
      </c>
      <c r="M53" s="38">
        <f>M43-M52</f>
        <v>0</v>
      </c>
    </row>
    <row r="54" spans="1:13" ht="13.5" thickBot="1">
      <c r="A54" s="44" t="s">
        <v>30</v>
      </c>
      <c r="B54" s="45" t="str">
        <f>$B$6</f>
        <v>Trim 1</v>
      </c>
      <c r="C54" s="45" t="str">
        <f>$C$6</f>
        <v>Trim 2</v>
      </c>
      <c r="D54" s="45" t="str">
        <f>$D$6</f>
        <v>Trim 3</v>
      </c>
      <c r="E54" s="118" t="str">
        <f>$E$6</f>
        <v>Trim 4</v>
      </c>
      <c r="F54" s="109"/>
      <c r="K54" s="18">
        <f>K53-J53</f>
        <v>0</v>
      </c>
      <c r="L54" s="18">
        <f>L53-K53</f>
        <v>0</v>
      </c>
      <c r="M54" s="18">
        <f>M53-L53</f>
        <v>0</v>
      </c>
    </row>
    <row r="55" spans="1:12" ht="12.75">
      <c r="A55" s="46" t="s">
        <v>51</v>
      </c>
      <c r="B55" s="47">
        <f>B43</f>
        <v>1995</v>
      </c>
      <c r="C55" s="47">
        <f>C43</f>
        <v>2199.05</v>
      </c>
      <c r="D55" s="47">
        <f>D43</f>
        <v>2426.886</v>
      </c>
      <c r="E55" s="119">
        <f>E43</f>
        <v>2583.015666</v>
      </c>
      <c r="F55" s="19"/>
      <c r="J55" s="38"/>
      <c r="K55" s="38"/>
      <c r="L55" s="38"/>
    </row>
    <row r="56" spans="1:6" ht="13.5" thickBot="1">
      <c r="A56" s="48" t="s">
        <v>116</v>
      </c>
      <c r="B56" s="56">
        <f>B19</f>
        <v>90</v>
      </c>
      <c r="C56" s="56">
        <f>C19</f>
        <v>91</v>
      </c>
      <c r="D56" s="56">
        <f>D19</f>
        <v>92</v>
      </c>
      <c r="E56" s="139">
        <f>E19</f>
        <v>91</v>
      </c>
      <c r="F56" s="109"/>
    </row>
    <row r="57" spans="1:12" ht="12.75">
      <c r="A57" s="48" t="s">
        <v>121</v>
      </c>
      <c r="B57" s="49">
        <f>B55/B56</f>
        <v>22.166666666666668</v>
      </c>
      <c r="C57" s="49">
        <f>C55/C56</f>
        <v>24.165384615384617</v>
      </c>
      <c r="D57" s="49">
        <f>D55/D56</f>
        <v>26.379195652173912</v>
      </c>
      <c r="E57" s="121">
        <f>E55/E56</f>
        <v>28.384787538461538</v>
      </c>
      <c r="F57" s="19"/>
      <c r="I57" s="61" t="s">
        <v>62</v>
      </c>
      <c r="J57" s="184">
        <v>600</v>
      </c>
      <c r="L57" s="188" t="s">
        <v>156</v>
      </c>
    </row>
    <row r="58" spans="1:12" ht="13.5" thickBot="1">
      <c r="A58" s="48" t="s">
        <v>122</v>
      </c>
      <c r="B58" s="69">
        <f>((1+$D$32)*30)/2</f>
        <v>30</v>
      </c>
      <c r="C58" s="69">
        <f>((1+$D$32)*30)/2</f>
        <v>30</v>
      </c>
      <c r="D58" s="69">
        <f>((1+$D$32)*30)/2</f>
        <v>30</v>
      </c>
      <c r="E58" s="122">
        <f>((1+$D$32)*30)/2</f>
        <v>30</v>
      </c>
      <c r="F58" s="109"/>
      <c r="I58" s="42" t="s">
        <v>152</v>
      </c>
      <c r="J58" s="185">
        <v>450</v>
      </c>
      <c r="L58" s="187">
        <f>M52/J50-1</f>
        <v>0.22198780025443865</v>
      </c>
    </row>
    <row r="59" spans="1:10" ht="13.5" thickBot="1">
      <c r="A59" s="50" t="s">
        <v>123</v>
      </c>
      <c r="B59" s="51">
        <f>IF(B56&gt;B58,B57*B58,B55)</f>
        <v>665</v>
      </c>
      <c r="C59" s="51">
        <f>IF(C56&gt;C58,C57*C58,IF(C58&lt;60,C55+B55*(B58-30)/B56,C55+B55))</f>
        <v>724.9615384615386</v>
      </c>
      <c r="D59" s="51">
        <f>IF(D56&gt;D58,D57*D58,IF(D58&lt;60,D55+C55*(C58-30)/C56,IF(D58&lt;90,D55+C55+(D58-60)/D56*B55,D55+C55+B55)))</f>
        <v>791.3758695652174</v>
      </c>
      <c r="E59" s="123">
        <f>IF(E56&gt;E58,E57*E58,IF(E58&lt;60,E55+D55*(D58-30)/D56,IF(E58&lt;90,E55+D55+(E58-60)/C56*C55,IF(E58&lt;120,E55+D55+C55+(E58-90)/B56*B55,E55+D55+C55+B55))))</f>
        <v>851.5436261538462</v>
      </c>
      <c r="F59" s="113"/>
      <c r="I59" s="42" t="s">
        <v>153</v>
      </c>
      <c r="J59" s="185">
        <v>650</v>
      </c>
    </row>
    <row r="60" spans="1:10" ht="12.75">
      <c r="A60" s="41" t="s">
        <v>31</v>
      </c>
      <c r="B60" s="57">
        <v>200</v>
      </c>
      <c r="C60" s="98">
        <f>B63</f>
        <v>665</v>
      </c>
      <c r="D60" s="98">
        <f>C63</f>
        <v>724.9615384615386</v>
      </c>
      <c r="E60" s="124">
        <f>D63</f>
        <v>791.3758695652174</v>
      </c>
      <c r="F60" s="113"/>
      <c r="I60" s="42" t="s">
        <v>137</v>
      </c>
      <c r="J60" s="185"/>
    </row>
    <row r="61" spans="1:10" ht="12.75">
      <c r="A61" s="42" t="s">
        <v>26</v>
      </c>
      <c r="B61" s="89">
        <f>B55</f>
        <v>1995</v>
      </c>
      <c r="C61" s="89">
        <f>C55</f>
        <v>2199.05</v>
      </c>
      <c r="D61" s="89">
        <f>D55</f>
        <v>2426.886</v>
      </c>
      <c r="E61" s="125">
        <f>E55</f>
        <v>2583.015666</v>
      </c>
      <c r="F61" s="115"/>
      <c r="I61" s="42"/>
      <c r="J61" s="77">
        <f>SUM(J57:J60)</f>
        <v>1700</v>
      </c>
    </row>
    <row r="62" spans="1:10" ht="12.75">
      <c r="A62" s="42" t="s">
        <v>32</v>
      </c>
      <c r="B62" s="58">
        <f>B60+B61-B63</f>
        <v>1530</v>
      </c>
      <c r="C62" s="138">
        <f>C60+C61-C63</f>
        <v>2139.0884615384616</v>
      </c>
      <c r="D62" s="138">
        <f>D60+D61-D63</f>
        <v>2360.4716688963213</v>
      </c>
      <c r="E62" s="140">
        <f>E60+E61-E63</f>
        <v>2522.847909411371</v>
      </c>
      <c r="F62" s="114"/>
      <c r="I62" s="42"/>
      <c r="J62" s="77"/>
    </row>
    <row r="63" spans="1:10" ht="13.5" thickBot="1">
      <c r="A63" s="50" t="s">
        <v>33</v>
      </c>
      <c r="B63" s="51">
        <f>B59</f>
        <v>665</v>
      </c>
      <c r="C63" s="51">
        <f>C59</f>
        <v>724.9615384615386</v>
      </c>
      <c r="D63" s="51">
        <f>D59</f>
        <v>791.3758695652174</v>
      </c>
      <c r="E63" s="123">
        <f>E59</f>
        <v>851.5436261538462</v>
      </c>
      <c r="I63" s="42" t="s">
        <v>154</v>
      </c>
      <c r="J63" s="185">
        <v>200</v>
      </c>
    </row>
    <row r="64" spans="2:10" ht="13.5" thickBot="1">
      <c r="B64" s="38"/>
      <c r="F64" s="19"/>
      <c r="I64" s="42" t="s">
        <v>155</v>
      </c>
      <c r="J64" s="185">
        <v>1500</v>
      </c>
    </row>
    <row r="65" spans="1:10" ht="13.5" thickBot="1">
      <c r="A65" s="39" t="s">
        <v>18</v>
      </c>
      <c r="B65" s="40" t="str">
        <f>$B$6</f>
        <v>Trim 1</v>
      </c>
      <c r="C65" s="40" t="str">
        <f>$C$6</f>
        <v>Trim 2</v>
      </c>
      <c r="D65" s="40" t="str">
        <f>$D$6</f>
        <v>Trim 3</v>
      </c>
      <c r="E65" s="84" t="str">
        <f>$E$6</f>
        <v>Trim 4</v>
      </c>
      <c r="F65" s="19"/>
      <c r="I65" s="63" t="s">
        <v>66</v>
      </c>
      <c r="J65" s="186"/>
    </row>
    <row r="66" spans="1:10" ht="13.5" thickBot="1">
      <c r="A66" s="59" t="s">
        <v>133</v>
      </c>
      <c r="B66" s="141">
        <f aca="true" t="shared" si="5" ref="B66:E67">B38</f>
        <v>100</v>
      </c>
      <c r="C66" s="141">
        <f t="shared" si="5"/>
        <v>120</v>
      </c>
      <c r="D66" s="141">
        <f t="shared" si="5"/>
        <v>130</v>
      </c>
      <c r="E66" s="142">
        <f t="shared" si="5"/>
        <v>140</v>
      </c>
      <c r="F66" s="19"/>
      <c r="I66" s="64"/>
      <c r="J66" s="183">
        <f>SUM(J63:J65)</f>
        <v>1700</v>
      </c>
    </row>
    <row r="67" spans="1:6" ht="12.75">
      <c r="A67" s="59" t="s">
        <v>134</v>
      </c>
      <c r="B67" s="56">
        <f t="shared" si="5"/>
        <v>570</v>
      </c>
      <c r="C67" s="56">
        <f t="shared" si="5"/>
        <v>610</v>
      </c>
      <c r="D67" s="56">
        <f t="shared" si="5"/>
        <v>660</v>
      </c>
      <c r="E67" s="139">
        <f t="shared" si="5"/>
        <v>682</v>
      </c>
      <c r="F67" s="19"/>
    </row>
    <row r="68" spans="1:6" ht="12.75">
      <c r="A68" s="59" t="s">
        <v>135</v>
      </c>
      <c r="B68" s="56">
        <f>B66+B67</f>
        <v>670</v>
      </c>
      <c r="C68" s="56">
        <f>C66+C67</f>
        <v>730</v>
      </c>
      <c r="D68" s="56">
        <f>D66+D67</f>
        <v>790</v>
      </c>
      <c r="E68" s="139">
        <f>E66+E67</f>
        <v>822</v>
      </c>
      <c r="F68" s="113"/>
    </row>
    <row r="69" spans="1:6" ht="12.75">
      <c r="A69" s="41" t="s">
        <v>19</v>
      </c>
      <c r="B69" s="57">
        <v>650</v>
      </c>
      <c r="C69" s="98">
        <f>B76</f>
        <v>709.5582089552239</v>
      </c>
      <c r="D69" s="98">
        <f>C76</f>
        <v>776.435009813944</v>
      </c>
      <c r="E69" s="124">
        <f>D76</f>
        <v>851.5306427518382</v>
      </c>
      <c r="F69" s="113"/>
    </row>
    <row r="70" spans="1:6" ht="12.75">
      <c r="A70" s="42" t="s">
        <v>111</v>
      </c>
      <c r="B70" s="89">
        <f>B45</f>
        <v>3311.7</v>
      </c>
      <c r="C70" s="89">
        <f>C45</f>
        <v>3650.4230000000002</v>
      </c>
      <c r="D70" s="89">
        <f>D45</f>
        <v>4028.63076</v>
      </c>
      <c r="E70" s="125">
        <f>E45</f>
        <v>4287.80600556</v>
      </c>
      <c r="F70" s="113"/>
    </row>
    <row r="71" spans="1:6" ht="12.75">
      <c r="A71" s="42" t="s">
        <v>20</v>
      </c>
      <c r="B71" s="89">
        <f>B69+B70</f>
        <v>3961.7</v>
      </c>
      <c r="C71" s="89">
        <f>C69+C70</f>
        <v>4359.981208955224</v>
      </c>
      <c r="D71" s="89">
        <f>D69+D70</f>
        <v>4805.065769813944</v>
      </c>
      <c r="E71" s="125">
        <f>E69+E70</f>
        <v>5139.336648311838</v>
      </c>
      <c r="F71" s="113"/>
    </row>
    <row r="72" spans="1:6" ht="12.75">
      <c r="A72" s="42" t="s">
        <v>21</v>
      </c>
      <c r="B72" s="89">
        <f>B71/B68</f>
        <v>5.9129850746268655</v>
      </c>
      <c r="C72" s="89">
        <f>C71/C68</f>
        <v>5.9725769985688</v>
      </c>
      <c r="D72" s="89">
        <f>D71/D68</f>
        <v>6.082361733941701</v>
      </c>
      <c r="E72" s="125">
        <f>E71/E68</f>
        <v>6.2522343653428685</v>
      </c>
      <c r="F72" s="107"/>
    </row>
    <row r="73" spans="1:6" ht="12.75">
      <c r="A73" s="42" t="s">
        <v>22</v>
      </c>
      <c r="B73" s="69">
        <f>B7</f>
        <v>550</v>
      </c>
      <c r="C73" s="69">
        <f>C7</f>
        <v>600</v>
      </c>
      <c r="D73" s="69">
        <f>D7</f>
        <v>650</v>
      </c>
      <c r="E73" s="122">
        <f>E7</f>
        <v>700</v>
      </c>
      <c r="F73" s="114"/>
    </row>
    <row r="74" spans="1:6" ht="13.5" thickBot="1">
      <c r="A74" s="50" t="s">
        <v>23</v>
      </c>
      <c r="B74" s="51">
        <f>B72*B73</f>
        <v>3252.1417910447763</v>
      </c>
      <c r="C74" s="51">
        <f>C72*C73</f>
        <v>3583.5461991412803</v>
      </c>
      <c r="D74" s="51">
        <f>D72*D73</f>
        <v>3953.5351270621054</v>
      </c>
      <c r="E74" s="123">
        <f>E72*E73</f>
        <v>4376.564055740008</v>
      </c>
      <c r="F74" s="107"/>
    </row>
    <row r="75" spans="1:6" ht="12.75">
      <c r="A75" s="42" t="s">
        <v>132</v>
      </c>
      <c r="B75" s="69">
        <f>B37</f>
        <v>120</v>
      </c>
      <c r="C75" s="69">
        <f>C37</f>
        <v>130</v>
      </c>
      <c r="D75" s="69">
        <f>D37</f>
        <v>140</v>
      </c>
      <c r="E75" s="122">
        <f>E37</f>
        <v>122</v>
      </c>
      <c r="F75" s="114"/>
    </row>
    <row r="76" spans="1:5" ht="13.5" thickBot="1">
      <c r="A76" s="50" t="s">
        <v>136</v>
      </c>
      <c r="B76" s="51">
        <f>B72*B75</f>
        <v>709.5582089552239</v>
      </c>
      <c r="C76" s="51">
        <f>C72*C75</f>
        <v>776.435009813944</v>
      </c>
      <c r="D76" s="51">
        <f>D72*D75</f>
        <v>851.5306427518382</v>
      </c>
      <c r="E76" s="123">
        <f>E72*E75</f>
        <v>762.7725925718299</v>
      </c>
    </row>
    <row r="77" ht="13.5" thickBot="1">
      <c r="F77" s="143" t="s">
        <v>143</v>
      </c>
    </row>
    <row r="78" spans="1:6" ht="13.5" thickBot="1">
      <c r="A78" s="39" t="s">
        <v>28</v>
      </c>
      <c r="B78" s="40" t="str">
        <f>$B$6</f>
        <v>Trim 1</v>
      </c>
      <c r="C78" s="40" t="str">
        <f>$C$6</f>
        <v>Trim 2</v>
      </c>
      <c r="D78" s="40" t="str">
        <f>$D$6</f>
        <v>Trim 3</v>
      </c>
      <c r="E78" s="84" t="str">
        <f>$E$6</f>
        <v>Trim 4</v>
      </c>
      <c r="F78" s="144">
        <v>0.7</v>
      </c>
    </row>
    <row r="79" spans="1:6" ht="13.5" thickBot="1">
      <c r="A79" s="60" t="s">
        <v>52</v>
      </c>
      <c r="B79" s="161">
        <f>B81*$F$78</f>
        <v>700</v>
      </c>
      <c r="C79" s="161">
        <f>C81*$F$78</f>
        <v>630</v>
      </c>
      <c r="D79" s="161">
        <f>D81*$F$78</f>
        <v>665</v>
      </c>
      <c r="E79" s="162">
        <f>E81*$F$78</f>
        <v>840</v>
      </c>
      <c r="F79" s="145">
        <v>0.3</v>
      </c>
    </row>
    <row r="80" spans="1:6" ht="12.75">
      <c r="A80" s="53" t="s">
        <v>53</v>
      </c>
      <c r="B80" s="89">
        <f>B81*$F$79</f>
        <v>300</v>
      </c>
      <c r="C80" s="89">
        <f>C81*$F$79</f>
        <v>270</v>
      </c>
      <c r="D80" s="89">
        <f>D81*$F$79</f>
        <v>285</v>
      </c>
      <c r="E80" s="89">
        <f>E81*$F$79</f>
        <v>360</v>
      </c>
      <c r="F80" s="116"/>
    </row>
    <row r="81" spans="1:5" ht="13.5" thickBot="1">
      <c r="A81" s="50" t="s">
        <v>29</v>
      </c>
      <c r="B81" s="146">
        <v>1000</v>
      </c>
      <c r="C81" s="146">
        <v>900</v>
      </c>
      <c r="D81" s="146">
        <v>950</v>
      </c>
      <c r="E81" s="147">
        <v>1200</v>
      </c>
    </row>
    <row r="83" ht="13.5" thickBot="1">
      <c r="F83" s="19"/>
    </row>
    <row r="84" spans="1:6" ht="13.5" thickBot="1">
      <c r="A84" s="39" t="s">
        <v>24</v>
      </c>
      <c r="B84" s="40" t="str">
        <f>$B$6</f>
        <v>Trim 1</v>
      </c>
      <c r="C84" s="40" t="str">
        <f>$C$6</f>
        <v>Trim 2</v>
      </c>
      <c r="D84" s="40" t="str">
        <f>$D$6</f>
        <v>Trim 3</v>
      </c>
      <c r="E84" s="84" t="str">
        <f>$E$6</f>
        <v>Trim 4</v>
      </c>
      <c r="F84" s="113"/>
    </row>
    <row r="85" spans="1:6" ht="12.75">
      <c r="A85" s="41" t="s">
        <v>25</v>
      </c>
      <c r="B85" s="57">
        <v>0</v>
      </c>
      <c r="C85" s="98">
        <f>B88</f>
        <v>300</v>
      </c>
      <c r="D85" s="98">
        <f>C88</f>
        <v>270</v>
      </c>
      <c r="E85" s="124">
        <f>D88</f>
        <v>285</v>
      </c>
      <c r="F85" s="113"/>
    </row>
    <row r="86" spans="1:6" ht="12.75">
      <c r="A86" s="42" t="s">
        <v>35</v>
      </c>
      <c r="B86" s="89">
        <f>B80</f>
        <v>300</v>
      </c>
      <c r="C86" s="89">
        <f>C80</f>
        <v>270</v>
      </c>
      <c r="D86" s="89">
        <f>D80</f>
        <v>285</v>
      </c>
      <c r="E86" s="125">
        <f>E80</f>
        <v>360</v>
      </c>
      <c r="F86" s="115"/>
    </row>
    <row r="87" spans="1:6" ht="12.75">
      <c r="A87" s="42" t="s">
        <v>27</v>
      </c>
      <c r="B87" s="136">
        <f>B85</f>
        <v>0</v>
      </c>
      <c r="C87" s="136">
        <f>C85</f>
        <v>300</v>
      </c>
      <c r="D87" s="136">
        <f>D85</f>
        <v>270</v>
      </c>
      <c r="E87" s="137">
        <f>E85</f>
        <v>285</v>
      </c>
      <c r="F87" s="113"/>
    </row>
    <row r="88" spans="1:5" ht="13.5" thickBot="1">
      <c r="A88" s="64" t="s">
        <v>34</v>
      </c>
      <c r="B88" s="149">
        <f>B85+B86-B87</f>
        <v>300</v>
      </c>
      <c r="C88" s="149">
        <f>C85+C86-C87</f>
        <v>270</v>
      </c>
      <c r="D88" s="149">
        <f>D85+D86-D87</f>
        <v>285</v>
      </c>
      <c r="E88" s="150">
        <f>E85+E86-E87</f>
        <v>360</v>
      </c>
    </row>
    <row r="89" ht="13.5" thickBot="1">
      <c r="F89" s="19"/>
    </row>
    <row r="90" spans="1:6" ht="13.5" thickBot="1">
      <c r="A90" s="44" t="s">
        <v>103</v>
      </c>
      <c r="B90" s="45"/>
      <c r="C90" s="45"/>
      <c r="D90" s="45"/>
      <c r="E90" s="118"/>
      <c r="F90" s="113"/>
    </row>
    <row r="91" spans="1:6" ht="12.75">
      <c r="A91" s="61" t="s">
        <v>104</v>
      </c>
      <c r="B91" s="148">
        <f>B13</f>
        <v>935.0000000000001</v>
      </c>
      <c r="C91" s="148">
        <f>C13</f>
        <v>1050.6000000000001</v>
      </c>
      <c r="D91" s="148">
        <f>D13</f>
        <v>1160.9130000000002</v>
      </c>
      <c r="E91" s="156">
        <f>E13</f>
        <v>1287.72042</v>
      </c>
      <c r="F91" s="113"/>
    </row>
    <row r="92" spans="1:6" ht="12.75">
      <c r="A92" s="42" t="s">
        <v>105</v>
      </c>
      <c r="B92" s="89">
        <f>B91</f>
        <v>935.0000000000001</v>
      </c>
      <c r="C92" s="89">
        <f>C91</f>
        <v>1050.6000000000001</v>
      </c>
      <c r="D92" s="89">
        <f>D91</f>
        <v>1160.9130000000002</v>
      </c>
      <c r="E92" s="125">
        <f>E91</f>
        <v>1287.72042</v>
      </c>
      <c r="F92" s="115"/>
    </row>
    <row r="93" spans="1:6" ht="12.75">
      <c r="A93" s="42" t="s">
        <v>106</v>
      </c>
      <c r="B93" s="152">
        <f>B44</f>
        <v>678.3000000000001</v>
      </c>
      <c r="C93" s="152">
        <f>C44</f>
        <v>747.6770000000001</v>
      </c>
      <c r="D93" s="152">
        <f>D44</f>
        <v>825.14124</v>
      </c>
      <c r="E93" s="158">
        <f>E44</f>
        <v>878.22532644</v>
      </c>
      <c r="F93" s="113"/>
    </row>
    <row r="94" spans="1:6" ht="12.75">
      <c r="A94" s="42" t="s">
        <v>107</v>
      </c>
      <c r="B94" s="89">
        <f>B92-B93</f>
        <v>256.70000000000005</v>
      </c>
      <c r="C94" s="89">
        <f>C92-C93</f>
        <v>302.923</v>
      </c>
      <c r="D94" s="89">
        <f>D92-D93</f>
        <v>335.7717600000002</v>
      </c>
      <c r="E94" s="125">
        <f>E92-E93</f>
        <v>409.4950935600001</v>
      </c>
      <c r="F94" s="117"/>
    </row>
    <row r="95" spans="1:6" ht="12.75">
      <c r="A95" s="42" t="s">
        <v>124</v>
      </c>
      <c r="B95" s="62">
        <f>B19</f>
        <v>90</v>
      </c>
      <c r="C95" s="62">
        <f>C19</f>
        <v>91</v>
      </c>
      <c r="D95" s="62">
        <f>D19</f>
        <v>92</v>
      </c>
      <c r="E95" s="159">
        <f>E19</f>
        <v>91</v>
      </c>
      <c r="F95" s="113"/>
    </row>
    <row r="96" spans="1:6" ht="12.75">
      <c r="A96" s="42" t="s">
        <v>125</v>
      </c>
      <c r="B96" s="89">
        <f>B94/B95</f>
        <v>2.8522222222222227</v>
      </c>
      <c r="C96" s="89">
        <f>C94/C95</f>
        <v>3.3288241758241757</v>
      </c>
      <c r="D96" s="89">
        <f>D94/D95</f>
        <v>3.649693043478263</v>
      </c>
      <c r="E96" s="125">
        <f>E94/E95</f>
        <v>4.4999460830769245</v>
      </c>
      <c r="F96" s="117"/>
    </row>
    <row r="97" spans="1:6" ht="12.75">
      <c r="A97" s="42" t="s">
        <v>126</v>
      </c>
      <c r="B97" s="151">
        <v>30</v>
      </c>
      <c r="C97" s="62">
        <f>B97</f>
        <v>30</v>
      </c>
      <c r="D97" s="62">
        <f>C97</f>
        <v>30</v>
      </c>
      <c r="E97" s="159">
        <f>D97</f>
        <v>30</v>
      </c>
      <c r="F97" s="113"/>
    </row>
    <row r="98" spans="1:6" ht="13.5" thickBot="1">
      <c r="A98" s="63" t="s">
        <v>127</v>
      </c>
      <c r="B98" s="153">
        <f>B96*B97</f>
        <v>85.56666666666668</v>
      </c>
      <c r="C98" s="153">
        <f>C96*C97</f>
        <v>99.86472527472527</v>
      </c>
      <c r="D98" s="153">
        <f>D96*D97</f>
        <v>109.49079130434788</v>
      </c>
      <c r="E98" s="160">
        <f>E96*E97</f>
        <v>134.99838249230774</v>
      </c>
      <c r="F98" s="113"/>
    </row>
    <row r="99" spans="1:6" ht="12.75">
      <c r="A99" s="61" t="s">
        <v>128</v>
      </c>
      <c r="B99" s="154">
        <v>0</v>
      </c>
      <c r="C99" s="148">
        <f>B101</f>
        <v>85.56666666666668</v>
      </c>
      <c r="D99" s="148">
        <f>C101</f>
        <v>99.86472527472527</v>
      </c>
      <c r="E99" s="156">
        <f>D101</f>
        <v>109.49079130434788</v>
      </c>
      <c r="F99" s="113"/>
    </row>
    <row r="100" spans="1:6" ht="12.75">
      <c r="A100" s="42" t="s">
        <v>129</v>
      </c>
      <c r="B100" s="89">
        <f>B94</f>
        <v>256.70000000000005</v>
      </c>
      <c r="C100" s="89">
        <f>C94</f>
        <v>302.923</v>
      </c>
      <c r="D100" s="89">
        <f>D94</f>
        <v>335.7717600000002</v>
      </c>
      <c r="E100" s="125">
        <f>E94</f>
        <v>409.4950935600001</v>
      </c>
      <c r="F100" s="115"/>
    </row>
    <row r="101" spans="1:6" ht="13.5" thickBot="1">
      <c r="A101" s="64" t="s">
        <v>130</v>
      </c>
      <c r="B101" s="155">
        <f>B98</f>
        <v>85.56666666666668</v>
      </c>
      <c r="C101" s="155">
        <f>C98</f>
        <v>99.86472527472527</v>
      </c>
      <c r="D101" s="155">
        <f>D98</f>
        <v>109.49079130434788</v>
      </c>
      <c r="E101" s="157">
        <f>E98</f>
        <v>134.99838249230774</v>
      </c>
      <c r="F101" s="113"/>
    </row>
    <row r="102" spans="1:5" ht="13.5" thickBot="1">
      <c r="A102" s="65" t="s">
        <v>108</v>
      </c>
      <c r="B102" s="163">
        <f>B100-B101</f>
        <v>171.13333333333338</v>
      </c>
      <c r="C102" s="163">
        <f>C99+C100-C101</f>
        <v>288.6249413919414</v>
      </c>
      <c r="D102" s="163">
        <f>D99+D100-D101</f>
        <v>326.1456939703776</v>
      </c>
      <c r="E102" s="164">
        <f>E99+E100-E101</f>
        <v>383.98750237204024</v>
      </c>
    </row>
  </sheetData>
  <mergeCells count="2">
    <mergeCell ref="O29:R29"/>
    <mergeCell ref="O21:R21"/>
  </mergeCells>
  <printOptions/>
  <pageMargins left="0.75" right="0.75" top="1" bottom="1" header="0.492125985" footer="0.49212598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F8" sqref="F8"/>
    </sheetView>
  </sheetViews>
  <sheetFormatPr defaultColWidth="9.140625" defaultRowHeight="12.75"/>
  <cols>
    <col min="1" max="1" width="38.140625" style="0" customWidth="1"/>
    <col min="2" max="5" width="9.57421875" style="0" bestFit="1" customWidth="1"/>
    <col min="8" max="8" width="9.57421875" style="0" bestFit="1" customWidth="1"/>
    <col min="9" max="10" width="10.140625" style="0" customWidth="1"/>
    <col min="11" max="11" width="11.140625" style="0" customWidth="1"/>
  </cols>
  <sheetData>
    <row r="1" spans="1:5" ht="13.5" thickBot="1">
      <c r="A1" s="223"/>
      <c r="B1" s="224" t="s">
        <v>72</v>
      </c>
      <c r="C1" s="224" t="s">
        <v>73</v>
      </c>
      <c r="D1" s="224" t="s">
        <v>74</v>
      </c>
      <c r="E1" s="226" t="s">
        <v>75</v>
      </c>
    </row>
    <row r="2" spans="1:5" ht="12.75">
      <c r="A2" s="41" t="s">
        <v>68</v>
      </c>
      <c r="B2" s="288">
        <v>0.03</v>
      </c>
      <c r="C2" s="288">
        <v>0.02</v>
      </c>
      <c r="D2" s="288">
        <v>0.03</v>
      </c>
      <c r="E2" s="289">
        <v>0.04</v>
      </c>
    </row>
    <row r="3" spans="1:5" ht="12.75">
      <c r="A3" s="42" t="s">
        <v>69</v>
      </c>
      <c r="B3" s="22">
        <v>0.035</v>
      </c>
      <c r="C3" s="22">
        <v>0.02</v>
      </c>
      <c r="D3" s="22">
        <v>0.02</v>
      </c>
      <c r="E3" s="23">
        <v>0.03</v>
      </c>
    </row>
    <row r="4" spans="1:5" ht="12.75">
      <c r="A4" s="290" t="s">
        <v>70</v>
      </c>
      <c r="B4" s="291">
        <f>B2</f>
        <v>0.03</v>
      </c>
      <c r="C4" s="291">
        <f>(1+B2)*(1+C2)-1</f>
        <v>0.05059999999999998</v>
      </c>
      <c r="D4" s="291">
        <f>(1+B2)*(1+C2)*(1+D2)-1</f>
        <v>0.08211799999999991</v>
      </c>
      <c r="E4" s="292">
        <f>(1+B2)*(1+C2)*(1+D2)*(1+E2)-1</f>
        <v>0.12540271999999986</v>
      </c>
    </row>
    <row r="5" spans="1:5" ht="13.5" thickBot="1">
      <c r="A5" s="293" t="s">
        <v>71</v>
      </c>
      <c r="B5" s="294">
        <f>B3</f>
        <v>0.035</v>
      </c>
      <c r="C5" s="294">
        <f>(1+B3)*(1+C3)-1</f>
        <v>0.05569999999999986</v>
      </c>
      <c r="D5" s="294">
        <f>(1+B3)*(1+C3)*(1+D3)-1</f>
        <v>0.07681399999999994</v>
      </c>
      <c r="E5" s="295">
        <f>(1+B3)*(1+C3)*(1+D3)*(1+E3)-1</f>
        <v>0.10911841999999994</v>
      </c>
    </row>
    <row r="6" ht="13.5" thickBot="1"/>
    <row r="7" spans="1:5" ht="13.5" thickBot="1">
      <c r="A7" s="25" t="s">
        <v>76</v>
      </c>
      <c r="B7" s="26" t="s">
        <v>72</v>
      </c>
      <c r="C7" s="26" t="s">
        <v>73</v>
      </c>
      <c r="D7" s="26" t="s">
        <v>74</v>
      </c>
      <c r="E7" s="27" t="s">
        <v>75</v>
      </c>
    </row>
    <row r="8" spans="1:5" ht="12.75">
      <c r="A8" s="61" t="s">
        <v>80</v>
      </c>
      <c r="B8" s="154">
        <v>300000</v>
      </c>
      <c r="C8" s="148">
        <f>B10</f>
        <v>300000</v>
      </c>
      <c r="D8" s="148">
        <f>C10</f>
        <v>330000</v>
      </c>
      <c r="E8" s="156">
        <f>D10</f>
        <v>350000</v>
      </c>
    </row>
    <row r="9" spans="1:5" ht="12.75">
      <c r="A9" s="42" t="s">
        <v>78</v>
      </c>
      <c r="B9" s="287"/>
      <c r="C9" s="170">
        <v>30000</v>
      </c>
      <c r="D9" s="170">
        <v>20000</v>
      </c>
      <c r="E9" s="296"/>
    </row>
    <row r="10" spans="1:5" ht="13.5" thickBot="1">
      <c r="A10" s="50" t="s">
        <v>79</v>
      </c>
      <c r="B10" s="51">
        <f>B8+B9</f>
        <v>300000</v>
      </c>
      <c r="C10" s="51">
        <f>C8+C9</f>
        <v>330000</v>
      </c>
      <c r="D10" s="51">
        <f>D8+D9</f>
        <v>350000</v>
      </c>
      <c r="E10" s="123">
        <f>E8+E9</f>
        <v>350000</v>
      </c>
    </row>
    <row r="12" spans="1:8" ht="13.5" thickBot="1">
      <c r="A12" t="s">
        <v>99</v>
      </c>
      <c r="H12" t="s">
        <v>100</v>
      </c>
    </row>
    <row r="13" spans="1:11" ht="13.5" thickBot="1">
      <c r="A13" s="39" t="s">
        <v>77</v>
      </c>
      <c r="B13" s="40" t="s">
        <v>72</v>
      </c>
      <c r="C13" s="40" t="s">
        <v>73</v>
      </c>
      <c r="D13" s="40" t="s">
        <v>74</v>
      </c>
      <c r="E13" s="84" t="s">
        <v>75</v>
      </c>
      <c r="F13" s="17"/>
      <c r="G13" s="17" t="s">
        <v>93</v>
      </c>
      <c r="H13" s="6" t="s">
        <v>72</v>
      </c>
      <c r="I13" s="7" t="s">
        <v>73</v>
      </c>
      <c r="J13" s="7" t="s">
        <v>74</v>
      </c>
      <c r="K13" s="8" t="s">
        <v>75</v>
      </c>
    </row>
    <row r="14" spans="1:11" ht="12.75">
      <c r="A14" s="60" t="s">
        <v>81</v>
      </c>
      <c r="B14" s="98">
        <f>B8</f>
        <v>300000</v>
      </c>
      <c r="C14" s="98">
        <f>B17</f>
        <v>309000</v>
      </c>
      <c r="D14" s="98">
        <f>C17</f>
        <v>346698</v>
      </c>
      <c r="E14" s="124">
        <f>D17</f>
        <v>378741.3</v>
      </c>
      <c r="F14" s="24"/>
      <c r="G14" s="24"/>
      <c r="H14" s="28">
        <f>B14</f>
        <v>300000</v>
      </c>
      <c r="I14" s="9">
        <f>H17</f>
        <v>309000</v>
      </c>
      <c r="J14" s="9">
        <f>I17</f>
        <v>346698</v>
      </c>
      <c r="K14" s="10">
        <f>J17</f>
        <v>378741.3</v>
      </c>
    </row>
    <row r="15" spans="1:11" ht="12.75">
      <c r="A15" s="53" t="s">
        <v>82</v>
      </c>
      <c r="B15" s="89">
        <f>B9*(1+B5)</f>
        <v>0</v>
      </c>
      <c r="C15" s="89">
        <f>C9*(1+C5)</f>
        <v>31670.999999999996</v>
      </c>
      <c r="D15" s="89">
        <f>D9*(1+D5)</f>
        <v>21536.28</v>
      </c>
      <c r="E15" s="125">
        <f>E9*(1+E5)</f>
        <v>0</v>
      </c>
      <c r="F15" s="24"/>
      <c r="G15" s="24"/>
      <c r="H15" s="29">
        <f>B15</f>
        <v>0</v>
      </c>
      <c r="I15" s="2">
        <f>C9</f>
        <v>30000</v>
      </c>
      <c r="J15" s="2">
        <f>D9</f>
        <v>20000</v>
      </c>
      <c r="K15" s="3">
        <f>E15</f>
        <v>0</v>
      </c>
    </row>
    <row r="16" spans="1:11" ht="12.75">
      <c r="A16" s="48" t="s">
        <v>87</v>
      </c>
      <c r="B16" s="49">
        <f>B17-B14-B15</f>
        <v>9000</v>
      </c>
      <c r="C16" s="49">
        <f>C17-C14-C15</f>
        <v>6027.000000000004</v>
      </c>
      <c r="D16" s="49">
        <f>D17-D14-D15</f>
        <v>10507.01999999999</v>
      </c>
      <c r="E16" s="121">
        <f>E17-E14-E15</f>
        <v>15149.651999999944</v>
      </c>
      <c r="F16" s="24"/>
      <c r="G16" s="24"/>
      <c r="H16" s="30">
        <f>H17-H14-H15</f>
        <v>9000</v>
      </c>
      <c r="I16" s="13">
        <f>I17-I14-I15</f>
        <v>7698</v>
      </c>
      <c r="J16" s="13">
        <f>J17-J14-J15</f>
        <v>12043.299999999988</v>
      </c>
      <c r="K16" s="14">
        <f>K17-K14-K15</f>
        <v>15149.651999999944</v>
      </c>
    </row>
    <row r="17" spans="1:11" ht="13.5" thickBot="1">
      <c r="A17" s="50" t="s">
        <v>83</v>
      </c>
      <c r="B17" s="51">
        <f>B10*(1+B4)</f>
        <v>309000</v>
      </c>
      <c r="C17" s="51">
        <f>C10*(1+C4)</f>
        <v>346698</v>
      </c>
      <c r="D17" s="51">
        <f>D10*(1+D4)</f>
        <v>378741.3</v>
      </c>
      <c r="E17" s="123">
        <f>E10*(1+E4)</f>
        <v>393890.95199999993</v>
      </c>
      <c r="F17" s="24"/>
      <c r="G17" s="24"/>
      <c r="H17" s="31">
        <f>B17</f>
        <v>309000</v>
      </c>
      <c r="I17" s="4">
        <f>C17</f>
        <v>346698</v>
      </c>
      <c r="J17" s="4">
        <f>D17</f>
        <v>378741.3</v>
      </c>
      <c r="K17" s="5">
        <f>E17</f>
        <v>393890.95199999993</v>
      </c>
    </row>
    <row r="19" spans="1:2" ht="13.5" thickBot="1">
      <c r="A19" t="s">
        <v>98</v>
      </c>
      <c r="B19" s="21">
        <v>0.1</v>
      </c>
    </row>
    <row r="20" spans="1:5" ht="13.5" thickBot="1">
      <c r="A20" s="44" t="s">
        <v>84</v>
      </c>
      <c r="B20" s="45" t="s">
        <v>72</v>
      </c>
      <c r="C20" s="45" t="s">
        <v>73</v>
      </c>
      <c r="D20" s="45" t="s">
        <v>74</v>
      </c>
      <c r="E20" s="118" t="s">
        <v>75</v>
      </c>
    </row>
    <row r="21" spans="1:5" ht="12.75">
      <c r="A21" s="61" t="s">
        <v>85</v>
      </c>
      <c r="B21" s="283">
        <v>50000</v>
      </c>
      <c r="C21" s="148">
        <f>B23</f>
        <v>57500</v>
      </c>
      <c r="D21" s="148">
        <f>C23</f>
        <v>65000</v>
      </c>
      <c r="E21" s="156">
        <f>D23</f>
        <v>73250</v>
      </c>
    </row>
    <row r="22" spans="1:5" ht="12.75">
      <c r="A22" s="42" t="s">
        <v>96</v>
      </c>
      <c r="B22" s="89">
        <f>B8*B19/4</f>
        <v>7500</v>
      </c>
      <c r="C22" s="89">
        <f>C8*B19/4</f>
        <v>7500</v>
      </c>
      <c r="D22" s="89">
        <f>D8*B19/4</f>
        <v>8250</v>
      </c>
      <c r="E22" s="125">
        <f>E8*B19/4</f>
        <v>8750</v>
      </c>
    </row>
    <row r="23" spans="1:5" ht="13.5" thickBot="1">
      <c r="A23" s="50" t="s">
        <v>86</v>
      </c>
      <c r="B23" s="51">
        <f>B21+B22</f>
        <v>57500</v>
      </c>
      <c r="C23" s="51">
        <f>C21+C22</f>
        <v>65000</v>
      </c>
      <c r="D23" s="51">
        <f>D21+D22</f>
        <v>73250</v>
      </c>
      <c r="E23" s="123">
        <f>E21+E22</f>
        <v>82000</v>
      </c>
    </row>
    <row r="24" ht="13.5" thickBot="1"/>
    <row r="25" spans="1:5" ht="13.5" thickBot="1">
      <c r="A25" s="44" t="s">
        <v>95</v>
      </c>
      <c r="B25" s="45" t="s">
        <v>72</v>
      </c>
      <c r="C25" s="45" t="s">
        <v>73</v>
      </c>
      <c r="D25" s="45" t="s">
        <v>74</v>
      </c>
      <c r="E25" s="118" t="s">
        <v>75</v>
      </c>
    </row>
    <row r="26" spans="1:5" ht="12.75">
      <c r="A26" s="52" t="s">
        <v>85</v>
      </c>
      <c r="B26" s="148">
        <f>B21</f>
        <v>50000</v>
      </c>
      <c r="C26" s="148">
        <f>B29</f>
        <v>59225</v>
      </c>
      <c r="D26" s="148">
        <f>C29</f>
        <v>68289</v>
      </c>
      <c r="E26" s="156">
        <f>D29</f>
        <v>79265.14349999999</v>
      </c>
    </row>
    <row r="27" spans="1:5" ht="12.75">
      <c r="A27" s="53" t="s">
        <v>94</v>
      </c>
      <c r="B27" s="89">
        <f>B22*(1+B5)</f>
        <v>7762.499999999999</v>
      </c>
      <c r="C27" s="89">
        <f>C22*(1+C5)</f>
        <v>7917.749999999999</v>
      </c>
      <c r="D27" s="89">
        <f>D22*(1+D5)</f>
        <v>8883.7155</v>
      </c>
      <c r="E27" s="125">
        <f>E22*(1+E5)</f>
        <v>9704.786175</v>
      </c>
    </row>
    <row r="28" spans="1:5" ht="12.75">
      <c r="A28" s="48" t="s">
        <v>88</v>
      </c>
      <c r="B28" s="49">
        <f>B29-B26-B27</f>
        <v>1462.500000000001</v>
      </c>
      <c r="C28" s="49">
        <f>C29-C26-C27</f>
        <v>1146.250000000001</v>
      </c>
      <c r="D28" s="49">
        <f>D29-D26-D27</f>
        <v>2092.427999999991</v>
      </c>
      <c r="E28" s="121">
        <f>E29-E26-E27</f>
        <v>3313.093364999995</v>
      </c>
    </row>
    <row r="29" spans="1:5" ht="13.5" thickBot="1">
      <c r="A29" s="297" t="s">
        <v>97</v>
      </c>
      <c r="B29" s="51">
        <f>B23*(1+B4)</f>
        <v>59225</v>
      </c>
      <c r="C29" s="51">
        <f>C23*(1+C4)</f>
        <v>68289</v>
      </c>
      <c r="D29" s="51">
        <f>D23*(1+D4)</f>
        <v>79265.14349999999</v>
      </c>
      <c r="E29" s="123">
        <f>E23*(1+E4)</f>
        <v>92283.02303999999</v>
      </c>
    </row>
    <row r="30" spans="1:5" ht="12.75">
      <c r="A30" s="20"/>
      <c r="B30" s="37"/>
      <c r="C30" s="37"/>
      <c r="D30" s="37"/>
      <c r="E30" s="37"/>
    </row>
    <row r="31" spans="1:8" ht="13.5" thickBot="1">
      <c r="A31" t="s">
        <v>99</v>
      </c>
      <c r="H31" t="s">
        <v>100</v>
      </c>
    </row>
    <row r="32" spans="1:11" ht="13.5" thickBot="1">
      <c r="A32" s="39" t="s">
        <v>89</v>
      </c>
      <c r="B32" s="40" t="s">
        <v>72</v>
      </c>
      <c r="C32" s="40" t="s">
        <v>73</v>
      </c>
      <c r="D32" s="40" t="s">
        <v>74</v>
      </c>
      <c r="E32" s="84" t="s">
        <v>75</v>
      </c>
      <c r="G32" s="19" t="s">
        <v>93</v>
      </c>
      <c r="H32" s="6" t="s">
        <v>72</v>
      </c>
      <c r="I32" s="7" t="s">
        <v>73</v>
      </c>
      <c r="J32" s="7" t="s">
        <v>74</v>
      </c>
      <c r="K32" s="8" t="s">
        <v>75</v>
      </c>
    </row>
    <row r="33" spans="1:11" ht="12.75">
      <c r="A33" s="60" t="s">
        <v>90</v>
      </c>
      <c r="B33" s="169">
        <f>B16</f>
        <v>9000</v>
      </c>
      <c r="C33" s="169">
        <f>C16</f>
        <v>6027.000000000004</v>
      </c>
      <c r="D33" s="169">
        <f>D16</f>
        <v>10507.01999999999</v>
      </c>
      <c r="E33" s="233">
        <f>E16</f>
        <v>15149.651999999944</v>
      </c>
      <c r="H33" s="36">
        <f>H16</f>
        <v>9000</v>
      </c>
      <c r="I33" s="32">
        <f>I16</f>
        <v>7698</v>
      </c>
      <c r="J33" s="32">
        <f>J16</f>
        <v>12043.299999999988</v>
      </c>
      <c r="K33" s="33">
        <f>K16</f>
        <v>15149.651999999944</v>
      </c>
    </row>
    <row r="34" spans="1:11" ht="12.75">
      <c r="A34" s="53" t="s">
        <v>91</v>
      </c>
      <c r="B34" s="152">
        <f>-B28</f>
        <v>-1462.500000000001</v>
      </c>
      <c r="C34" s="152">
        <f>-C28</f>
        <v>-1146.250000000001</v>
      </c>
      <c r="D34" s="152">
        <f>-D28</f>
        <v>-2092.427999999991</v>
      </c>
      <c r="E34" s="158">
        <f>-E28</f>
        <v>-3313.093364999995</v>
      </c>
      <c r="H34" s="34">
        <f>B34</f>
        <v>-1462.500000000001</v>
      </c>
      <c r="I34" s="11">
        <f>C34</f>
        <v>-1146.250000000001</v>
      </c>
      <c r="J34" s="11">
        <f>D34</f>
        <v>-2092.427999999991</v>
      </c>
      <c r="K34" s="12">
        <f>E34</f>
        <v>-3313.093364999995</v>
      </c>
    </row>
    <row r="35" spans="1:11" ht="13.5" thickBot="1">
      <c r="A35" s="50" t="s">
        <v>92</v>
      </c>
      <c r="B35" s="71">
        <f>B33+B34</f>
        <v>7537.499999999999</v>
      </c>
      <c r="C35" s="71">
        <f>C33+C34</f>
        <v>4880.750000000003</v>
      </c>
      <c r="D35" s="71">
        <f>D33+D34</f>
        <v>8414.591999999999</v>
      </c>
      <c r="E35" s="168">
        <f>E33+E34</f>
        <v>11836.558634999948</v>
      </c>
      <c r="F35" s="17"/>
      <c r="G35" s="17"/>
      <c r="H35" s="35">
        <f>H33+H34</f>
        <v>7537.499999999999</v>
      </c>
      <c r="I35" s="15">
        <f>I33+I34</f>
        <v>6551.749999999999</v>
      </c>
      <c r="J35" s="15">
        <f>J33+J34</f>
        <v>9950.871999999998</v>
      </c>
      <c r="K35" s="16">
        <f>K33+K34</f>
        <v>11836.558634999948</v>
      </c>
    </row>
  </sheetData>
  <printOptions/>
  <pageMargins left="0.75" right="0.75" top="1" bottom="1" header="0.492125985" footer="0.49212598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Alexandre</cp:lastModifiedBy>
  <cp:lastPrinted>2007-04-18T21:46:56Z</cp:lastPrinted>
  <dcterms:created xsi:type="dcterms:W3CDTF">2005-09-26T23:52:41Z</dcterms:created>
  <dcterms:modified xsi:type="dcterms:W3CDTF">2007-05-12T20:54:25Z</dcterms:modified>
  <cp:category/>
  <cp:version/>
  <cp:contentType/>
  <cp:contentStatus/>
</cp:coreProperties>
</file>